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  <sheet name="Sheet1" sheetId="15" r:id="rId15"/>
  </sheets>
  <definedNames>
    <definedName name="_xlnm.Print_Area" localSheetId="0">'งบทดลอง'!$A$1:$D$127</definedName>
    <definedName name="_xlnm.Print_Area" localSheetId="1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<sst xmlns="http://schemas.openxmlformats.org/spreadsheetml/2006/main" count="1607" uniqueCount="586">
  <si>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</si>
  <si>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</si>
  <si>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</si>
  <si>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</si>
  <si>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</si>
  <si>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</si>
  <si>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</si>
  <si>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</si>
  <si>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</si>
  <si>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</si>
  <si>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</si>
  <si>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</si>
  <si>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</si>
  <si>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</si>
  <si>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</si>
  <si>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</si>
  <si>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</si>
  <si>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</si>
  <si>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</si>
  <si>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</si>
  <si>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</si>
  <si>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</si>
  <si>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</si>
  <si>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</si>
  <si>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</si>
  <si>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</si>
  <si>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</si>
  <si>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</si>
  <si>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</si>
  <si>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</si>
  <si>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</si>
  <si>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</si>
  <si>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</si>
  <si>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</si>
  <si>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</si>
  <si>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</si>
  <si>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</si>
  <si>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</si>
  <si>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</si>
  <si>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</si>
  <si>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</si>
  <si>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</si>
  <si>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</si>
  <si>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</si>
  <si>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</si>
  <si>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</si>
  <si>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</si>
  <si>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</si>
  <si>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</si>
  <si>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</si>
  <si>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</si>
  <si>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</si>
  <si>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</si>
  <si>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</si>
  <si>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</si>
  <si>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</si>
  <si>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</si>
  <si>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</si>
  <si>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</si>
  <si>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</si>
  <si>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</si>
  <si>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</si>
  <si>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</si>
  <si>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</si>
  <si>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</si>
  <si>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</si>
  <si>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</si>
  <si>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</si>
  <si>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</si>
  <si>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</si>
  <si>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</si>
  <si>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</si>
  <si>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</si>
  <si>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</si>
  <si>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</si>
  <si>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</si>
  <si>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</si>
  <si>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</si>
  <si>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</si>
  <si>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</si>
  <si>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</si>
  <si>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</si>
  <si>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</si>
  <si>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</si>
  <si>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</si>
  <si>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</si>
  <si>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</si>
  <si>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</si>
  <si>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</si>
  <si>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</si>
  <si>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</si>
  <si>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</si>
  <si>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</si>
  <si>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</si>
  <si>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</si>
  <si>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</si>
  <si>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</si>
  <si>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</si>
  <si>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</si>
  <si>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</si>
  <si>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</si>
  <si>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</si>
  <si>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</si>
  <si>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</si>
  <si>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</si>
  <si>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</si>
  <si>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</si>
  <si>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</si>
  <si>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</si>
  <si>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</si>
  <si>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</si>
  <si>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</si>
  <si>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</si>
  <si>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</si>
  <si>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</si>
  <si>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</si>
  <si>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</si>
  <si>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</si>
  <si>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</si>
  <si>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</si>
  <si>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</si>
  <si>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</si>
  <si>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</si>
  <si>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</si>
  <si>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</si>
  <si>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</si>
  <si>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</si>
  <si>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</si>
  <si>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</si>
  <si>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</si>
  <si>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</si>
  <si>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</si>
  <si>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</si>
  <si>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</si>
  <si>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</si>
  <si>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</si>
  <si>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</si>
  <si>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</si>
  <si>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</si>
  <si>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</si>
  <si>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</si>
  <si>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</si>
  <si>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</si>
  <si>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</si>
  <si>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</si>
  <si>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</si>
  <si>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</si>
  <si>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</si>
  <si>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</si>
  <si>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</si>
  <si>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</si>
  <si>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</si>
  <si>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</si>
  <si>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</si>
  <si>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</si>
  <si>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</si>
  <si>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</si>
  <si>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</si>
  <si>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</si>
  <si>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</si>
  <si>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</si>
  <si>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</si>
  <si>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</si>
  <si>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</si>
  <si>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</si>
  <si>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</si>
  <si>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</si>
  <si>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</si>
  <si>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</si>
  <si>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</si>
  <si>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</si>
  <si>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</si>
  <si>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</si>
  <si>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</si>
  <si>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</si>
  <si>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</si>
  <si>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</si>
  <si>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</si>
  <si>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</si>
  <si>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</si>
  <si>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</si>
  <si>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</si>
  <si>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</si>
  <si>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</si>
  <si>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</si>
  <si>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</si>
  <si>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</si>
  <si>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</si>
  <si>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</si>
  <si>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</si>
  <si>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</si>
  <si>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</si>
  <si>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</si>
  <si>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</si>
  <si>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</si>
  <si>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</si>
  <si>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</si>
  <si>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</si>
  <si>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</si>
  <si>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</si>
  <si>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</si>
  <si>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</si>
  <si>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</si>
  <si>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</si>
  <si>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</si>
  <si>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</si>
  <si>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</si>
  <si>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</si>
  <si>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</si>
  <si>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</si>
  <si>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</si>
  <si>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</si>
  <si>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</si>
  <si>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</si>
  <si>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</si>
  <si>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</si>
  <si>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</si>
  <si>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</si>
  <si>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</si>
  <si>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</si>
  <si>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</si>
  <si>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</si>
  <si>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</si>
  <si>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</si>
  <si>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</si>
  <si>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</si>
  <si>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</si>
  <si>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</si>
  <si>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</si>
  <si>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</si>
  <si>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</si>
  <si>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</si>
  <si>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</si>
  <si>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</si>
  <si>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</si>
  <si>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</si>
  <si>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</si>
  <si>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</si>
  <si>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</si>
  <si>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</si>
  <si>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</si>
  <si>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</si>
  <si>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</si>
  <si>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</si>
  <si>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</si>
  <si>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</si>
  <si>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</si>
  <si>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</si>
  <si>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</si>
  <si>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</si>
  <si>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</si>
  <si>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</si>
  <si>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</si>
  <si>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</si>
  <si>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</si>
  <si>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</si>
  <si>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</si>
  <si>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</si>
  <si>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</si>
  <si>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</si>
  <si>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</si>
  <si>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</si>
  <si>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</si>
  <si>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</si>
  <si>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</si>
  <si>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</si>
  <si>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</si>
  <si>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</si>
  <si>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</si>
  <si>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</si>
  <si>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</si>
  <si>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</si>
  <si>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</si>
  <si>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</si>
  <si>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</si>
  <si>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</si>
  <si>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</si>
  <si>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</si>
  <si>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</si>
  <si>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</si>
  <si>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</si>
  <si>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</si>
  <si>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</si>
  <si>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</si>
  <si>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</si>
  <si>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</si>
  <si>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</si>
  <si>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</si>
  <si>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</si>
  <si>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</si>
  <si>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</si>
  <si>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</si>
  <si>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</si>
  <si>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</si>
  <si>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</si>
  <si>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</si>
  <si>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</si>
  <si>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</si>
  <si>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</si>
  <si>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</si>
  <si>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</si>
  <si>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</si>
  <si>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</si>
  <si>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</si>
  <si>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</si>
  <si>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</si>
  <si>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</si>
  <si>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</si>
  <si>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</si>
  <si>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</si>
  <si>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</si>
  <si>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</si>
  <si>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</si>
  <si>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</si>
  <si>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</si>
  <si>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</si>
  <si>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</si>
  <si>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</si>
  <si>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</si>
  <si>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</si>
  <si>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</si>
  <si>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</si>
  <si>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</si>
  <si>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</si>
  <si>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</si>
  <si>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</si>
  <si>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</si>
  <si>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</si>
  <si>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</si>
  <si>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</si>
  <si>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</si>
  <si>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</si>
  <si>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</si>
  <si>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</si>
  <si>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</si>
  <si>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</si>
  <si>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</si>
  <si>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</si>
  <si>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</si>
  <si>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</si>
  <si>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</si>
  <si>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</si>
  <si>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</si>
  <si>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</si>
  <si>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</si>
  <si>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</si>
  <si>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</si>
  <si>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</si>
  <si>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</si>
  <si>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</si>
  <si>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</si>
  <si>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</si>
  <si>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</si>
  <si>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</si>
  <si>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</si>
  <si>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</si>
  <si>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</si>
  <si>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</si>
  <si>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</si>
  <si>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</si>
  <si>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</si>
  <si>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</si>
  <si>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</si>
  <si>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</si>
  <si>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</si>
  <si>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</si>
  <si>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</si>
  <si>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</si>
  <si>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</si>
  <si>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</si>
  <si>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</si>
  <si>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</si>
  <si>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</si>
  <si>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</si>
  <si>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</si>
  <si>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</si>
  <si>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</si>
  <si>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</si>
  <si>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</si>
  <si>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</si>
  <si>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</si>
  <si>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</si>
  <si>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</si>
  <si>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</si>
  <si>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</si>
  <si>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</si>
  <si>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</si>
  <si>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</si>
  <si>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</si>
  <si>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</si>
  <si>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</si>
  <si>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</si>
  <si>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</si>
  <si>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</si>
  <si>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</si>
  <si>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</si>
  <si>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</si>
  <si>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</si>
  <si>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</si>
  <si>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</si>
  <si>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</si>
  <si>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</si>
  <si>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</si>
  <si>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</si>
  <si>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</si>
  <si>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</si>
  <si>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</si>
  <si>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</si>
  <si>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</si>
  <si>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</si>
  <si>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</si>
  <si>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</si>
  <si>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</si>
  <si>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</si>
  <si>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</si>
  <si>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</si>
  <si>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</si>
  <si>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</si>
  <si>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</si>
  <si>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</si>
  <si>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</si>
  <si>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</si>
  <si>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</si>
  <si>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</si>
  <si>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</si>
  <si>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</si>
  <si>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</si>
  <si>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</si>
  <si>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</si>
  <si>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</si>
  <si>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</si>
  <si>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</si>
  <si>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</si>
  <si>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</si>
  <si>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</si>
  <si>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</si>
  <si>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</si>
  <si>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</si>
  <si>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</si>
  <si>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</si>
  <si>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</si>
  <si>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</si>
  <si>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</si>
  <si>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</si>
  <si>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</si>
  <si>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</si>
  <si>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</si>
  <si>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</si>
  <si>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</si>
  <si>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</si>
  <si>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</si>
  <si>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</si>
  <si>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</si>
  <si>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</si>
  <si>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</si>
  <si>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</si>
  <si>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</si>
  <si>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</si>
  <si>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</si>
  <si>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</si>
  <si>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</si>
  <si>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</si>
  <si>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</si>
  <si>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</si>
  <si>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</si>
  <si>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</si>
  <si>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</si>
  <si>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</si>
  <si>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</si>
  <si>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</si>
  <si>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</si>
  <si>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</si>
  <si>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</si>
  <si>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</si>
  <si>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</si>
  <si>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</si>
  <si>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</si>
  <si>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</si>
  <si>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</si>
  <si>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</si>
  <si>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</si>
  <si>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</si>
  <si>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</si>
  <si>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</si>
  <si>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</si>
  <si>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</si>
  <si>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</si>
  <si>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</si>
  <si>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</si>
  <si>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</si>
  <si>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</si>
  <si>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</si>
  <si>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</si>
  <si>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</si>
  <si>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</si>
  <si>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</si>
  <si>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</si>
  <si>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</si>
  <si>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</si>
  <si>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</si>
  <si>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</si>
  <si>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</si>
  <si>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</si>
  <si>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</si>
  <si>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</si>
  <si>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</si>
  <si>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</si>
  <si>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</si>
  <si>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</si>
  <si>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</si>
  <si>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</si>
  <si>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</si>
  <si>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</si>
  <si>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</si>
  <si>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</si>
  <si>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</si>
  <si>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</si>
  <si>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</si>
  <si>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</si>
  <si>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</si>
  <si>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</si>
  <si>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</si>
  <si>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>เงินสด</t>
  </si>
  <si>
    <t>12/2559</t>
  </si>
  <si>
    <t>กลุ่มปลูกพืชฤดูแล้ง ม. 12 บ้านโคกพลวง</t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</si>
  <si>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</si>
  <si>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</si>
  <si>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</si>
  <si>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</si>
  <si>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</si>
  <si>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ประกันสัญญา</t>
  </si>
  <si>
    <t>ค่าที่ดินและสิ่งก่อสร้าง-โครงการก่อสร้างลานกีฬาเอนกประสงค์ หมู่ 7</t>
  </si>
  <si>
    <t>เงินอุดหนุนทั่วไประบุวัตถุประสงค์-โครงการก่อสร้างลานกีฬาเอนกประสงค์ หมู่ 7</t>
  </si>
  <si>
    <t>8.โครงการก่อสร้างลานกีฬาเอนกประสงค์ หมู่ 7</t>
  </si>
  <si>
    <t xml:space="preserve">                      </t>
  </si>
  <si>
    <t>ค่าใช้สอย-ค่าสื่อการเรียนการสอน ศพด.</t>
  </si>
  <si>
    <t>ค่าที่ดินและสิ่งก่อสร้าง-โครงการซ่อมสร้างผิวจราจรแอสฟัลท์ติกคอนกรีต</t>
  </si>
  <si>
    <t>หมู่ 10</t>
  </si>
  <si>
    <t>ค่าทีดินและสิ่งก่อสร้าง-โครงการก่อสร้างระบบประปาหมู่บ้าน แบบผิวดิน</t>
  </si>
  <si>
    <t>ขนาดใหญ่ หมู่ 5</t>
  </si>
  <si>
    <t>9.โครงการซ่อมสร้างผิวจราจรแอสฟัลท์ติกคอนกรีต หมู่ 10</t>
  </si>
  <si>
    <t>10.โครงการก่อสร้ารงระบบประปาหมู่บ้าน แบบผิวดินขนาดใหญ่</t>
  </si>
  <si>
    <t>หมู่ 5</t>
  </si>
  <si>
    <t>16/2559</t>
  </si>
  <si>
    <t>15/2559</t>
  </si>
  <si>
    <t xml:space="preserve">          รับเงินรับฝาก</t>
  </si>
  <si>
    <t>โครงการปรับสภาพแวดล้อมที่อยู่อาศัยสำหรับคนพิการ,ผู้สูงงอายุ</t>
  </si>
  <si>
    <t>โครงการปรับสภาพแวดล้อมที่อยู่อาศัยสำหรับผู้พิการ,ผู้สูงอายุ</t>
  </si>
  <si>
    <t xml:space="preserve">                                                 </t>
  </si>
  <si>
    <t>เดือน  สิงหาคม  2559</t>
  </si>
  <si>
    <t>ณ วันที่  31  สิงหาคม  2559</t>
  </si>
  <si>
    <t>หมายเหตุ 2  ประกอบงบทดลอง  ณ  วันที่    31  สิงหาคม  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</si>
  <si>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</si>
  <si>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หมายเหตุ 1  ประกอบงบทดลอง  ณ  วันที่    31  สิงหาคม  2559</t>
  </si>
  <si>
    <t xml:space="preserve">  นักวิชาการเงินและบัญชีชำนาญการ</t>
  </si>
  <si>
    <t xml:space="preserve">    นักวิชาการเงินและบัญชีชำนาญการ                                                                      ผู้อำนวยการกองคลัง</t>
  </si>
  <si>
    <t>หมายเหตุ 1  ประกอบงบทดลอง  ณ  วันที่    31 สิงหาคม 2559</t>
  </si>
  <si>
    <t xml:space="preserve">          นักวิชาการเงินและบัญชีชำนาญการ                                                  ผู้อำนวยการกองคลัง</t>
  </si>
  <si>
    <t>ณ  วันที่  31  สิงหาคม 2559</t>
  </si>
  <si>
    <t xml:space="preserve">ประจำเดือน สิงหาคม  2559 </t>
  </si>
  <si>
    <t>โครงการปรับสภาพแวดล้อมที่อยู่อาศัยสำหรับคนพิการ/ผู้สูงอายุ</t>
  </si>
  <si>
    <t>เดือน   สิงหาคม  2559</t>
  </si>
  <si>
    <t>เดือน สิงหาคม  2559</t>
  </si>
  <si>
    <t>ยอดเงินคงเหลือตามรายงานธนาคาร ณวันที่ 31 สิงหาคม 2559</t>
  </si>
  <si>
    <t>4 ส.ค. 59</t>
  </si>
  <si>
    <t>18021472</t>
  </si>
  <si>
    <t>24 ส.ค. 59</t>
  </si>
  <si>
    <t>18021499</t>
  </si>
  <si>
    <t>26 ส.ค. 59</t>
  </si>
  <si>
    <t>18021502</t>
  </si>
  <si>
    <t>30 ส.ค. 59</t>
  </si>
  <si>
    <t>18021504</t>
  </si>
  <si>
    <t>18021505</t>
  </si>
  <si>
    <t>18021506</t>
  </si>
  <si>
    <t>18021508</t>
  </si>
  <si>
    <t>31 ส.ค. 59</t>
  </si>
  <si>
    <t>6 ก.ค. 59</t>
  </si>
  <si>
    <t>16014533</t>
  </si>
  <si>
    <t>22 ส.ค. 59</t>
  </si>
  <si>
    <t>18021493</t>
  </si>
  <si>
    <t>ยอดเงินคงเหลือตามบัญชี  ณ  วันที่  31  สิงหาคม  2559</t>
  </si>
  <si>
    <t>(ลงชื่อ)........................................................วันที่ 31  สิงหาคม  2559</t>
  </si>
  <si>
    <t>(ลงชื่อ).................................วันที่  31  สิงหาคม  2559</t>
  </si>
  <si>
    <t xml:space="preserve">           นักวิชาการเงินและบัญชีชำนาญการ</t>
  </si>
  <si>
    <t xml:space="preserve"> 31  สิงหาคม  2559</t>
  </si>
  <si>
    <t>วันที่  1  สิงหาคม  2559  ถึง   31  สิงหาคม  2559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</si>
</sst>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194" fontId="4" fillId="0" borderId="0" xfId="33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94" fontId="11" fillId="0" borderId="24" xfId="33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94" fontId="12" fillId="0" borderId="0" xfId="33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0"/>
  <sheetViews>
    <sheetView view="pageBreakPreview" zoomScaleSheetLayoutView="100" workbookViewId="0" topLeftCell="A1">
      <selection activeCell="A113" sqref="A113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558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522</v>
      </c>
      <c r="B5" s="161" t="s">
        <v>257</v>
      </c>
      <c r="C5" s="287">
        <v>250</v>
      </c>
      <c r="D5" s="96"/>
    </row>
    <row r="6" spans="1:4" s="158" customFormat="1" ht="16.5" customHeight="1">
      <c r="A6" s="160" t="s">
        <v>355</v>
      </c>
      <c r="B6" s="161" t="s">
        <v>425</v>
      </c>
      <c r="C6" s="46">
        <v>4055295.8</v>
      </c>
      <c r="D6" s="96"/>
    </row>
    <row r="7" spans="1:9" ht="16.5" customHeight="1">
      <c r="A7" s="160" t="s">
        <v>72</v>
      </c>
      <c r="B7" s="161" t="s">
        <v>425</v>
      </c>
      <c r="C7" s="46">
        <v>9435246.19</v>
      </c>
      <c r="D7" s="96"/>
      <c r="I7" s="160"/>
    </row>
    <row r="8" spans="1:4" ht="16.5" customHeight="1">
      <c r="A8" s="160" t="s">
        <v>73</v>
      </c>
      <c r="B8" s="161" t="s">
        <v>425</v>
      </c>
      <c r="C8" s="46">
        <v>152199.71</v>
      </c>
      <c r="D8" s="45"/>
    </row>
    <row r="9" spans="1:4" ht="16.5" customHeight="1">
      <c r="A9" s="160" t="s">
        <v>359</v>
      </c>
      <c r="B9" s="161" t="s">
        <v>425</v>
      </c>
      <c r="C9" s="46">
        <v>5166941.61</v>
      </c>
      <c r="D9" s="45"/>
    </row>
    <row r="10" spans="1:4" ht="16.5" customHeight="1">
      <c r="A10" s="160" t="s">
        <v>74</v>
      </c>
      <c r="B10" s="161" t="s">
        <v>426</v>
      </c>
      <c r="C10" s="46">
        <v>14155672.79</v>
      </c>
      <c r="D10" s="45"/>
    </row>
    <row r="11" spans="1:4" ht="16.5" customHeight="1">
      <c r="A11" s="160" t="s">
        <v>31</v>
      </c>
      <c r="B11" s="161" t="s">
        <v>427</v>
      </c>
      <c r="C11" s="46">
        <v>522379</v>
      </c>
      <c r="D11" s="45"/>
    </row>
    <row r="12" spans="1:4" ht="16.5" customHeight="1">
      <c r="A12" s="160" t="s">
        <v>455</v>
      </c>
      <c r="B12" s="161" t="s">
        <v>427</v>
      </c>
      <c r="C12" s="46">
        <v>6602600</v>
      </c>
      <c r="D12" s="45"/>
    </row>
    <row r="13" spans="1:4" ht="16.5" customHeight="1">
      <c r="A13" s="160" t="s">
        <v>456</v>
      </c>
      <c r="B13" s="161" t="s">
        <v>427</v>
      </c>
      <c r="C13" s="46">
        <v>1604800</v>
      </c>
      <c r="D13" s="45"/>
    </row>
    <row r="14" spans="1:4" ht="16.5" customHeight="1">
      <c r="A14" s="160" t="s">
        <v>457</v>
      </c>
      <c r="B14" s="161" t="s">
        <v>427</v>
      </c>
      <c r="C14" s="46">
        <v>4500</v>
      </c>
      <c r="D14" s="45"/>
    </row>
    <row r="15" spans="1:10" ht="16.5" customHeight="1">
      <c r="A15" s="160" t="s">
        <v>329</v>
      </c>
      <c r="B15" s="161" t="s">
        <v>428</v>
      </c>
      <c r="C15" s="46">
        <v>2594460</v>
      </c>
      <c r="D15" s="45"/>
      <c r="J15" s="155" t="s">
        <v>480</v>
      </c>
    </row>
    <row r="16" spans="1:4" ht="16.5" customHeight="1">
      <c r="A16" s="160" t="s">
        <v>330</v>
      </c>
      <c r="B16" s="161" t="s">
        <v>429</v>
      </c>
      <c r="C16" s="46">
        <v>4274101</v>
      </c>
      <c r="D16" s="45"/>
    </row>
    <row r="17" spans="1:4" ht="16.5" customHeight="1">
      <c r="A17" s="160" t="s">
        <v>458</v>
      </c>
      <c r="B17" s="161" t="s">
        <v>429</v>
      </c>
      <c r="C17" s="46">
        <v>228164</v>
      </c>
      <c r="D17" s="45"/>
    </row>
    <row r="18" spans="1:4" ht="16.5" customHeight="1">
      <c r="A18" s="160" t="s">
        <v>331</v>
      </c>
      <c r="B18" s="161" t="s">
        <v>429</v>
      </c>
      <c r="C18" s="46">
        <v>148660</v>
      </c>
      <c r="D18" s="45"/>
    </row>
    <row r="19" spans="1:4" ht="16.5" customHeight="1">
      <c r="A19" s="160" t="s">
        <v>332</v>
      </c>
      <c r="B19" s="161" t="s">
        <v>429</v>
      </c>
      <c r="C19" s="46">
        <v>1262088</v>
      </c>
      <c r="D19" s="45"/>
    </row>
    <row r="20" spans="1:4" ht="16.5" customHeight="1">
      <c r="A20" s="160" t="s">
        <v>459</v>
      </c>
      <c r="B20" s="161" t="s">
        <v>429</v>
      </c>
      <c r="C20" s="46">
        <v>90000</v>
      </c>
      <c r="D20" s="45"/>
    </row>
    <row r="21" spans="1:4" ht="16.5" customHeight="1">
      <c r="A21" s="160" t="s">
        <v>6</v>
      </c>
      <c r="B21" s="161" t="s">
        <v>430</v>
      </c>
      <c r="C21" s="46">
        <v>341495</v>
      </c>
      <c r="D21" s="45"/>
    </row>
    <row r="22" spans="1:4" ht="16.5" customHeight="1">
      <c r="A22" s="160" t="s">
        <v>7</v>
      </c>
      <c r="B22" s="161" t="s">
        <v>357</v>
      </c>
      <c r="C22" s="46">
        <v>2271476.41</v>
      </c>
      <c r="D22" s="45"/>
    </row>
    <row r="23" spans="1:4" ht="16.5" customHeight="1">
      <c r="A23" s="160" t="s">
        <v>535</v>
      </c>
      <c r="B23" s="161" t="s">
        <v>357</v>
      </c>
      <c r="C23" s="46">
        <v>154700</v>
      </c>
      <c r="D23" s="45"/>
    </row>
    <row r="24" spans="1:4" ht="16.5" customHeight="1">
      <c r="A24" s="160" t="s">
        <v>8</v>
      </c>
      <c r="B24" s="161" t="s">
        <v>431</v>
      </c>
      <c r="C24" s="46">
        <v>1231705.3</v>
      </c>
      <c r="D24" s="45"/>
    </row>
    <row r="25" spans="1:4" ht="16.5" customHeight="1">
      <c r="A25" s="160" t="s">
        <v>9</v>
      </c>
      <c r="B25" s="161" t="s">
        <v>432</v>
      </c>
      <c r="C25" s="46">
        <v>261176.67</v>
      </c>
      <c r="D25" s="45"/>
    </row>
    <row r="26" spans="1:4" ht="16.5" customHeight="1">
      <c r="A26" s="160" t="s">
        <v>54</v>
      </c>
      <c r="B26" s="161" t="s">
        <v>433</v>
      </c>
      <c r="C26" s="46">
        <v>1022490.42</v>
      </c>
      <c r="D26" s="45"/>
    </row>
    <row r="27" spans="1:4" ht="16.5" customHeight="1">
      <c r="A27" s="160" t="s">
        <v>55</v>
      </c>
      <c r="B27" s="161" t="s">
        <v>341</v>
      </c>
      <c r="C27" s="46">
        <v>1781960</v>
      </c>
      <c r="D27" s="45"/>
    </row>
    <row r="28" spans="1:4" ht="16.5" customHeight="1">
      <c r="A28" s="160" t="s">
        <v>531</v>
      </c>
      <c r="B28" s="161" t="s">
        <v>341</v>
      </c>
      <c r="C28" s="46">
        <v>1110000</v>
      </c>
      <c r="D28" s="45"/>
    </row>
    <row r="29" spans="1:4" ht="16.5" customHeight="1">
      <c r="A29" s="160" t="s">
        <v>32</v>
      </c>
      <c r="B29" s="161" t="s">
        <v>434</v>
      </c>
      <c r="C29" s="46">
        <v>2256413.52</v>
      </c>
      <c r="D29" s="45"/>
    </row>
    <row r="30" spans="1:4" ht="16.5" customHeight="1">
      <c r="A30" s="160" t="s">
        <v>333</v>
      </c>
      <c r="B30" s="161" t="s">
        <v>436</v>
      </c>
      <c r="C30" s="46">
        <v>1367.93</v>
      </c>
      <c r="D30" s="45"/>
    </row>
    <row r="31" spans="1:4" ht="16.5" customHeight="1">
      <c r="A31" s="159" t="s">
        <v>424</v>
      </c>
      <c r="B31" s="161" t="s">
        <v>437</v>
      </c>
      <c r="C31" s="46">
        <v>984560</v>
      </c>
      <c r="D31" s="45"/>
    </row>
    <row r="32" spans="1:4" ht="16.5" customHeight="1">
      <c r="A32" s="159" t="s">
        <v>445</v>
      </c>
      <c r="B32" s="161" t="s">
        <v>446</v>
      </c>
      <c r="C32" s="46">
        <v>0</v>
      </c>
      <c r="D32" s="45"/>
    </row>
    <row r="33" spans="1:4" ht="16.5" customHeight="1">
      <c r="A33" s="159" t="s">
        <v>405</v>
      </c>
      <c r="B33" s="161" t="s">
        <v>435</v>
      </c>
      <c r="C33" s="46">
        <v>0</v>
      </c>
      <c r="D33" s="45"/>
    </row>
    <row r="34" spans="1:4" ht="16.5" customHeight="1">
      <c r="A34" s="159" t="s">
        <v>11</v>
      </c>
      <c r="B34" s="161" t="s">
        <v>356</v>
      </c>
      <c r="C34" s="46"/>
      <c r="D34" s="45">
        <f>5091270.11+1242343.67+3565986.22+1434674.06+1972494.68+1747445.15+2673093.51+771159.25+3044067.82+1344078.92</f>
        <v>22886613.39</v>
      </c>
    </row>
    <row r="35" spans="1:4" ht="16.5" customHeight="1">
      <c r="A35" s="160" t="s">
        <v>444</v>
      </c>
      <c r="B35" s="161" t="s">
        <v>441</v>
      </c>
      <c r="C35" s="46"/>
      <c r="D35" s="97">
        <v>632382</v>
      </c>
    </row>
    <row r="36" spans="1:4" ht="16.5" customHeight="1">
      <c r="A36" s="160" t="s">
        <v>334</v>
      </c>
      <c r="B36" s="161" t="s">
        <v>440</v>
      </c>
      <c r="C36" s="46"/>
      <c r="D36" s="95">
        <v>1788616.61</v>
      </c>
    </row>
    <row r="37" spans="1:8" ht="16.5" customHeight="1">
      <c r="A37" s="160" t="s">
        <v>10</v>
      </c>
      <c r="B37" s="161" t="s">
        <v>430</v>
      </c>
      <c r="C37" s="46"/>
      <c r="D37" s="45">
        <v>11624654.56</v>
      </c>
      <c r="H37" s="155" t="s">
        <v>252</v>
      </c>
    </row>
    <row r="38" spans="1:4" ht="16.5" customHeight="1">
      <c r="A38" s="160" t="s">
        <v>127</v>
      </c>
      <c r="B38" s="161" t="s">
        <v>357</v>
      </c>
      <c r="C38" s="46"/>
      <c r="D38" s="45">
        <v>14155672.79</v>
      </c>
    </row>
    <row r="39" spans="1:4" ht="16.5" customHeight="1">
      <c r="A39" s="160" t="s">
        <v>447</v>
      </c>
      <c r="B39" s="161" t="s">
        <v>448</v>
      </c>
      <c r="C39" s="46"/>
      <c r="D39" s="45">
        <v>0</v>
      </c>
    </row>
    <row r="40" spans="1:4" ht="16.5" customHeight="1">
      <c r="A40" s="160" t="s">
        <v>482</v>
      </c>
      <c r="B40" s="161" t="s">
        <v>433</v>
      </c>
      <c r="C40" s="46"/>
      <c r="D40" s="45">
        <v>228164</v>
      </c>
    </row>
    <row r="41" spans="1:4" ht="16.5" customHeight="1">
      <c r="A41" s="160" t="s">
        <v>483</v>
      </c>
      <c r="B41" s="161" t="s">
        <v>433</v>
      </c>
      <c r="C41" s="46"/>
      <c r="D41" s="45">
        <v>81000</v>
      </c>
    </row>
    <row r="42" spans="1:4" ht="16.5" customHeight="1">
      <c r="A42" s="160" t="s">
        <v>484</v>
      </c>
      <c r="B42" s="161" t="s">
        <v>433</v>
      </c>
      <c r="C42" s="46"/>
      <c r="D42" s="45">
        <v>9000</v>
      </c>
    </row>
    <row r="43" spans="1:4" ht="16.5" customHeight="1">
      <c r="A43" s="160" t="s">
        <v>485</v>
      </c>
      <c r="B43" s="161" t="s">
        <v>433</v>
      </c>
      <c r="C43" s="46"/>
      <c r="D43" s="45">
        <v>4500</v>
      </c>
    </row>
    <row r="44" spans="1:4" ht="16.5" customHeight="1">
      <c r="A44" s="160" t="s">
        <v>486</v>
      </c>
      <c r="B44" s="161" t="s">
        <v>433</v>
      </c>
      <c r="C44" s="46"/>
      <c r="D44" s="45">
        <v>154700</v>
      </c>
    </row>
    <row r="45" spans="1:4" ht="16.5" customHeight="1">
      <c r="A45" s="160" t="s">
        <v>487</v>
      </c>
      <c r="B45" s="161" t="s">
        <v>433</v>
      </c>
      <c r="C45" s="46"/>
      <c r="D45" s="45">
        <v>7190600</v>
      </c>
    </row>
    <row r="46" spans="1:4" ht="16.5" customHeight="1">
      <c r="A46" s="160" t="s">
        <v>488</v>
      </c>
      <c r="B46" s="161" t="s">
        <v>433</v>
      </c>
      <c r="C46" s="46"/>
      <c r="D46" s="45">
        <v>1848800</v>
      </c>
    </row>
    <row r="47" spans="1:4" ht="16.5" customHeight="1">
      <c r="A47" s="160" t="s">
        <v>532</v>
      </c>
      <c r="B47" s="161" t="s">
        <v>433</v>
      </c>
      <c r="C47" s="46"/>
      <c r="D47" s="45">
        <v>1110000</v>
      </c>
    </row>
    <row r="48" spans="2:5" ht="16.5" customHeight="1">
      <c r="B48" s="162"/>
      <c r="C48" s="6">
        <f>SUM(C5:C47)</f>
        <v>61714703.349999994</v>
      </c>
      <c r="D48" s="7">
        <f>SUM(D34:D47)</f>
        <v>61714703.35</v>
      </c>
      <c r="E48" s="163"/>
    </row>
    <row r="49" spans="2:5" ht="16.5" customHeight="1">
      <c r="B49" s="162"/>
      <c r="C49" s="291"/>
      <c r="E49" s="160"/>
    </row>
    <row r="50" spans="2:5" ht="16.5" customHeight="1">
      <c r="B50" s="162"/>
      <c r="C50" s="291"/>
      <c r="E50" s="160"/>
    </row>
    <row r="51" spans="2:5" ht="16.5" customHeight="1">
      <c r="B51" s="162"/>
      <c r="C51" s="291"/>
      <c r="E51" s="160"/>
    </row>
    <row r="52" spans="2:5" ht="16.5" customHeight="1">
      <c r="B52" s="162"/>
      <c r="C52" s="291"/>
      <c r="E52" s="160"/>
    </row>
    <row r="53" spans="2:5" ht="16.5" customHeight="1">
      <c r="B53" s="162"/>
      <c r="C53" s="291"/>
      <c r="E53" s="160"/>
    </row>
    <row r="54" spans="2:5" ht="16.5" customHeight="1">
      <c r="B54" s="162"/>
      <c r="C54" s="291"/>
      <c r="E54" s="160"/>
    </row>
    <row r="55" spans="2:5" ht="16.5" customHeight="1">
      <c r="B55" s="162"/>
      <c r="C55" s="291"/>
      <c r="E55" s="160"/>
    </row>
    <row r="56" spans="2:5" ht="16.5" customHeight="1">
      <c r="B56" s="162"/>
      <c r="C56" s="291"/>
      <c r="E56" s="160"/>
    </row>
    <row r="57" spans="2:5" ht="16.5" customHeight="1">
      <c r="B57" s="162"/>
      <c r="C57" s="291"/>
      <c r="E57" s="160"/>
    </row>
    <row r="58" spans="2:5" ht="16.5" customHeight="1">
      <c r="B58" s="162"/>
      <c r="C58" s="291"/>
      <c r="E58" s="160"/>
    </row>
    <row r="59" spans="1:4" ht="16.5" customHeight="1">
      <c r="A59" s="295" t="s">
        <v>120</v>
      </c>
      <c r="B59" s="295"/>
      <c r="C59" s="295"/>
      <c r="D59" s="295"/>
    </row>
    <row r="60" spans="1:4" ht="16.5" customHeight="1">
      <c r="A60" s="295" t="s">
        <v>121</v>
      </c>
      <c r="B60" s="295"/>
      <c r="C60" s="295"/>
      <c r="D60" s="295"/>
    </row>
    <row r="61" spans="1:4" ht="16.5" customHeight="1">
      <c r="A61" s="164"/>
      <c r="B61" s="164"/>
      <c r="C61" s="164"/>
      <c r="D61" s="164"/>
    </row>
    <row r="62" spans="1:4" ht="16.5" customHeight="1">
      <c r="A62" s="164"/>
      <c r="B62" s="164"/>
      <c r="C62" s="164"/>
      <c r="D62" s="164"/>
    </row>
    <row r="63" spans="1:4" ht="16.5" customHeight="1">
      <c r="A63" s="165" t="s">
        <v>119</v>
      </c>
      <c r="B63" s="164"/>
      <c r="C63" s="10"/>
      <c r="D63" s="10"/>
    </row>
    <row r="64" spans="1:4" ht="16.5" customHeight="1">
      <c r="A64" s="158" t="s">
        <v>118</v>
      </c>
      <c r="B64" s="158"/>
      <c r="C64" s="4"/>
      <c r="D64" s="4"/>
    </row>
    <row r="65" spans="1:4" ht="16.5" customHeight="1">
      <c r="A65" s="158" t="s">
        <v>15</v>
      </c>
      <c r="B65" s="158"/>
      <c r="C65" s="4"/>
      <c r="D65" s="4"/>
    </row>
    <row r="66" spans="1:4" ht="16.5" customHeight="1">
      <c r="A66" s="154" t="s">
        <v>584</v>
      </c>
      <c r="B66" s="154"/>
      <c r="C66" s="85"/>
      <c r="D66" s="85"/>
    </row>
    <row r="67" spans="1:4" ht="16.5" customHeight="1">
      <c r="A67" s="154"/>
      <c r="B67" s="154"/>
      <c r="C67" s="85"/>
      <c r="D67" s="85"/>
    </row>
    <row r="68" spans="1:4" ht="16.5" customHeight="1">
      <c r="A68" s="154"/>
      <c r="B68" s="154"/>
      <c r="C68" s="85"/>
      <c r="D68" s="85"/>
    </row>
    <row r="69" spans="1:4" ht="16.5" customHeight="1">
      <c r="A69" s="154"/>
      <c r="B69" s="154"/>
      <c r="C69" s="85"/>
      <c r="D69" s="85"/>
    </row>
    <row r="70" spans="1:4" ht="16.5" customHeight="1">
      <c r="A70" s="154"/>
      <c r="B70" s="154"/>
      <c r="C70" s="85"/>
      <c r="D70" s="85"/>
    </row>
    <row r="71" spans="1:4" ht="16.5" customHeight="1">
      <c r="A71" s="154"/>
      <c r="B71" s="154"/>
      <c r="C71" s="85"/>
      <c r="D71" s="85"/>
    </row>
    <row r="72" spans="1:4" ht="16.5" customHeight="1">
      <c r="A72" s="154"/>
      <c r="B72" s="154"/>
      <c r="C72" s="85"/>
      <c r="D72" s="85"/>
    </row>
    <row r="73" spans="1:4" ht="16.5" customHeight="1">
      <c r="A73" s="154"/>
      <c r="B73" s="154"/>
      <c r="C73" s="85"/>
      <c r="D73" s="85"/>
    </row>
    <row r="74" spans="1:4" ht="16.5" customHeight="1">
      <c r="A74" s="154"/>
      <c r="B74" s="154"/>
      <c r="C74" s="85"/>
      <c r="D74" s="85"/>
    </row>
    <row r="75" spans="1:4" ht="16.5" customHeight="1">
      <c r="A75" s="154"/>
      <c r="B75" s="154"/>
      <c r="C75" s="85"/>
      <c r="D75" s="85"/>
    </row>
    <row r="76" spans="1:4" ht="16.5" customHeight="1">
      <c r="A76" s="154"/>
      <c r="B76" s="154"/>
      <c r="C76" s="85"/>
      <c r="D76" s="85"/>
    </row>
    <row r="77" spans="1:4" ht="16.5" customHeight="1">
      <c r="A77" s="154"/>
      <c r="B77" s="154"/>
      <c r="C77" s="85"/>
      <c r="D77" s="85"/>
    </row>
    <row r="78" spans="1:4" ht="16.5" customHeight="1">
      <c r="A78" s="154"/>
      <c r="B78" s="154"/>
      <c r="C78" s="85"/>
      <c r="D78" s="85"/>
    </row>
    <row r="79" spans="1:4" ht="16.5" customHeight="1">
      <c r="A79" s="154"/>
      <c r="B79" s="154"/>
      <c r="C79" s="85"/>
      <c r="D79" s="85"/>
    </row>
    <row r="80" spans="1:4" ht="16.5" customHeight="1">
      <c r="A80" s="154"/>
      <c r="B80" s="154"/>
      <c r="C80" s="85"/>
      <c r="D80" s="85"/>
    </row>
    <row r="81" spans="1:4" ht="16.5" customHeight="1">
      <c r="A81" s="154"/>
      <c r="B81" s="154"/>
      <c r="C81" s="85"/>
      <c r="D81" s="85"/>
    </row>
    <row r="82" spans="1:4" ht="16.5" customHeight="1">
      <c r="A82" s="154"/>
      <c r="B82" s="154"/>
      <c r="C82" s="85"/>
      <c r="D82" s="85"/>
    </row>
    <row r="83" spans="1:4" ht="16.5" customHeight="1">
      <c r="A83" s="154"/>
      <c r="B83" s="154"/>
      <c r="C83" s="85"/>
      <c r="D83" s="85"/>
    </row>
    <row r="84" spans="1:4" ht="16.5" customHeight="1">
      <c r="A84" s="154"/>
      <c r="B84" s="154"/>
      <c r="C84" s="85"/>
      <c r="D84" s="85"/>
    </row>
    <row r="85" spans="1:4" ht="16.5" customHeight="1">
      <c r="A85" s="154"/>
      <c r="B85" s="154"/>
      <c r="C85" s="85"/>
      <c r="D85" s="85"/>
    </row>
    <row r="86" spans="1:4" ht="16.5" customHeight="1">
      <c r="A86" s="154"/>
      <c r="B86" s="154"/>
      <c r="C86" s="85"/>
      <c r="D86" s="85"/>
    </row>
    <row r="87" spans="1:4" ht="16.5" customHeight="1">
      <c r="A87" s="154"/>
      <c r="B87" s="154"/>
      <c r="C87" s="85"/>
      <c r="D87" s="85"/>
    </row>
    <row r="88" spans="1:4" ht="16.5" customHeight="1">
      <c r="A88" s="154"/>
      <c r="B88" s="154"/>
      <c r="C88" s="85"/>
      <c r="D88" s="85"/>
    </row>
    <row r="89" spans="1:4" ht="16.5" customHeight="1">
      <c r="A89" s="154"/>
      <c r="B89" s="154"/>
      <c r="C89" s="85"/>
      <c r="D89" s="85"/>
    </row>
    <row r="90" spans="1:4" ht="16.5" customHeight="1">
      <c r="A90" s="154"/>
      <c r="B90" s="154"/>
      <c r="C90" s="85"/>
      <c r="D90" s="85"/>
    </row>
    <row r="91" spans="1:4" ht="16.5" customHeight="1">
      <c r="A91" s="154"/>
      <c r="B91" s="154"/>
      <c r="C91" s="85"/>
      <c r="D91" s="85"/>
    </row>
    <row r="92" spans="1:4" ht="16.5" customHeight="1">
      <c r="A92" s="154"/>
      <c r="B92" s="154"/>
      <c r="C92" s="85"/>
      <c r="D92" s="85"/>
    </row>
    <row r="93" spans="1:4" ht="16.5" customHeight="1">
      <c r="A93" s="154"/>
      <c r="B93" s="154"/>
      <c r="C93" s="85"/>
      <c r="D93" s="85"/>
    </row>
    <row r="94" spans="1:4" ht="16.5" customHeight="1">
      <c r="A94" s="154"/>
      <c r="B94" s="154"/>
      <c r="C94" s="85"/>
      <c r="D94" s="85"/>
    </row>
    <row r="95" spans="1:4" ht="16.5" customHeight="1">
      <c r="A95" s="154"/>
      <c r="B95" s="154"/>
      <c r="C95" s="85"/>
      <c r="D95" s="85"/>
    </row>
    <row r="96" spans="1:4" ht="16.5" customHeight="1">
      <c r="A96" s="154"/>
      <c r="B96" s="154"/>
      <c r="C96" s="85"/>
      <c r="D96" s="85"/>
    </row>
    <row r="97" spans="1:4" ht="16.5" customHeight="1">
      <c r="A97" s="154"/>
      <c r="B97" s="154"/>
      <c r="C97" s="85"/>
      <c r="D97" s="85"/>
    </row>
    <row r="98" spans="1:4" ht="16.5" customHeight="1">
      <c r="A98" s="154"/>
      <c r="B98" s="154"/>
      <c r="C98" s="85"/>
      <c r="D98" s="85"/>
    </row>
    <row r="99" spans="1:4" ht="16.5" customHeight="1">
      <c r="A99" s="154"/>
      <c r="B99" s="154"/>
      <c r="C99" s="85"/>
      <c r="D99" s="85"/>
    </row>
    <row r="100" spans="1:4" ht="16.5" customHeight="1">
      <c r="A100" s="154"/>
      <c r="B100" s="154"/>
      <c r="C100" s="85"/>
      <c r="D100" s="85"/>
    </row>
    <row r="101" spans="1:4" ht="16.5" customHeight="1">
      <c r="A101" s="154"/>
      <c r="B101" s="154"/>
      <c r="C101" s="85"/>
      <c r="D101" s="85"/>
    </row>
    <row r="102" spans="1:4" ht="16.5" customHeight="1">
      <c r="A102" s="154"/>
      <c r="B102" s="154"/>
      <c r="C102" s="85"/>
      <c r="D102" s="85"/>
    </row>
    <row r="103" spans="1:4" ht="16.5" customHeight="1">
      <c r="A103" s="154"/>
      <c r="B103" s="154"/>
      <c r="C103" s="85"/>
      <c r="D103" s="85"/>
    </row>
    <row r="104" spans="1:4" ht="16.5" customHeight="1">
      <c r="A104" s="293" t="s">
        <v>57</v>
      </c>
      <c r="B104" s="293"/>
      <c r="C104" s="293"/>
      <c r="D104" s="293"/>
    </row>
    <row r="105" spans="1:4" ht="16.5" customHeight="1">
      <c r="A105" s="294" t="s">
        <v>407</v>
      </c>
      <c r="B105" s="294"/>
      <c r="C105" s="294"/>
      <c r="D105" s="294"/>
    </row>
    <row r="106" spans="1:4" ht="16.5" customHeight="1">
      <c r="A106" s="294" t="s">
        <v>550</v>
      </c>
      <c r="B106" s="294"/>
      <c r="C106" s="294"/>
      <c r="D106" s="294"/>
    </row>
    <row r="107" spans="1:13" ht="16.5" customHeight="1">
      <c r="A107" s="158"/>
      <c r="B107" s="158"/>
      <c r="C107" s="158"/>
      <c r="D107" s="158"/>
      <c r="K107" s="160"/>
      <c r="L107" s="160"/>
      <c r="M107" s="160"/>
    </row>
    <row r="108" spans="1:13" ht="16.5" customHeight="1">
      <c r="A108" s="165" t="s">
        <v>408</v>
      </c>
      <c r="B108" s="158"/>
      <c r="C108" s="158"/>
      <c r="D108" s="158"/>
      <c r="K108" s="160"/>
      <c r="L108" s="160"/>
      <c r="M108" s="160"/>
    </row>
    <row r="109" spans="1:4" ht="16.5" customHeight="1">
      <c r="A109" s="165"/>
      <c r="B109" s="158"/>
      <c r="C109" s="158"/>
      <c r="D109" s="158" t="s">
        <v>69</v>
      </c>
    </row>
    <row r="110" spans="1:4" ht="16.5" customHeight="1">
      <c r="A110" s="165" t="s">
        <v>17</v>
      </c>
      <c r="B110" s="158"/>
      <c r="C110" s="4"/>
      <c r="D110" s="48">
        <v>624484</v>
      </c>
    </row>
    <row r="111" spans="1:4" ht="16.5" customHeight="1">
      <c r="A111" s="165" t="s">
        <v>360</v>
      </c>
      <c r="B111" s="158"/>
      <c r="C111" s="4"/>
      <c r="D111" s="48">
        <v>19701</v>
      </c>
    </row>
    <row r="112" spans="1:4" ht="16.5" customHeight="1">
      <c r="A112" s="155" t="s">
        <v>18</v>
      </c>
      <c r="D112" s="290">
        <v>7671.9</v>
      </c>
    </row>
    <row r="113" spans="1:4" ht="16.5" customHeight="1">
      <c r="A113" s="155" t="s">
        <v>546</v>
      </c>
      <c r="D113" s="290">
        <v>1136759.71</v>
      </c>
    </row>
    <row r="114" spans="1:4" ht="16.5" customHeight="1">
      <c r="A114" s="165" t="s">
        <v>75</v>
      </c>
      <c r="D114" s="8">
        <v>0</v>
      </c>
    </row>
    <row r="115" ht="16.5" customHeight="1">
      <c r="A115" s="160"/>
    </row>
    <row r="116" spans="1:4" ht="16.5" customHeight="1" thickBot="1">
      <c r="A116" s="160"/>
      <c r="C116" s="12" t="s">
        <v>19</v>
      </c>
      <c r="D116" s="283">
        <f>SUM(D110:D115)</f>
        <v>1788616.6099999999</v>
      </c>
    </row>
    <row r="117" ht="16.5" customHeight="1" thickTop="1">
      <c r="A117" s="160"/>
    </row>
    <row r="118" ht="16.5" customHeight="1">
      <c r="A118" s="160"/>
    </row>
    <row r="119" spans="1:7" ht="16.5" customHeight="1">
      <c r="A119" s="160"/>
      <c r="G119" s="160"/>
    </row>
    <row r="120" spans="4:7" ht="16.5" customHeight="1">
      <c r="D120" s="13"/>
      <c r="G120" s="279"/>
    </row>
    <row r="121" ht="16.5" customHeight="1">
      <c r="D121" s="13"/>
    </row>
    <row r="122" ht="16.5" customHeight="1">
      <c r="D122" s="13"/>
    </row>
    <row r="123" spans="1:4" ht="16.5" customHeight="1">
      <c r="A123" s="168"/>
      <c r="D123" s="13"/>
    </row>
    <row r="124" spans="1:4" ht="16.5" customHeight="1">
      <c r="A124" s="168"/>
      <c r="D124" s="13"/>
    </row>
    <row r="125" spans="1:4" ht="16.5" customHeight="1">
      <c r="A125" s="168"/>
      <c r="D125" s="13"/>
    </row>
    <row r="126" spans="1:4" ht="16.5" customHeight="1">
      <c r="A126" s="168"/>
      <c r="D126" s="13"/>
    </row>
    <row r="127" spans="1:4" ht="16.5" customHeight="1">
      <c r="A127" s="158"/>
      <c r="D127" s="13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2"/>
      <c r="D517" s="2"/>
    </row>
    <row r="518" spans="2:4" ht="16.5" customHeight="1">
      <c r="B518" s="155"/>
      <c r="C518" s="2"/>
      <c r="D518" s="2"/>
    </row>
    <row r="519" spans="2:4" ht="16.5" customHeight="1">
      <c r="B519" s="155"/>
      <c r="C519" s="2"/>
      <c r="D519" s="2"/>
    </row>
    <row r="520" spans="2:4" ht="16.5" customHeight="1">
      <c r="B520" s="155"/>
      <c r="C520" s="2"/>
      <c r="D520" s="2"/>
    </row>
    <row r="521" spans="2:4" ht="16.5" customHeight="1">
      <c r="B521" s="155"/>
      <c r="C521" s="2"/>
      <c r="D521" s="2"/>
    </row>
    <row r="522" spans="2:4" ht="16.5" customHeight="1">
      <c r="B522" s="155"/>
      <c r="C522" s="2"/>
      <c r="D522" s="2"/>
    </row>
    <row r="523" spans="2:4" ht="16.5" customHeight="1">
      <c r="B523" s="155"/>
      <c r="C523" s="2"/>
      <c r="D523" s="2"/>
    </row>
    <row r="524" spans="2:4" ht="16.5" customHeight="1">
      <c r="B524" s="155"/>
      <c r="C524" s="2"/>
      <c r="D524" s="2"/>
    </row>
    <row r="525" spans="2:4" ht="16.5" customHeight="1">
      <c r="B525" s="155"/>
      <c r="C525" s="2"/>
      <c r="D525" s="2"/>
    </row>
    <row r="526" spans="2:4" ht="16.5" customHeight="1">
      <c r="B526" s="155"/>
      <c r="C526" s="2"/>
      <c r="D526" s="2"/>
    </row>
    <row r="527" spans="2:4" ht="16.5" customHeight="1">
      <c r="B527" s="155"/>
      <c r="C527" s="2"/>
      <c r="D527" s="2"/>
    </row>
    <row r="528" spans="2:4" ht="16.5" customHeight="1">
      <c r="B528" s="155"/>
      <c r="C528" s="2"/>
      <c r="D528" s="2"/>
    </row>
    <row r="529" spans="2:4" ht="16.5" customHeight="1">
      <c r="B529" s="155"/>
      <c r="C529" s="2"/>
      <c r="D529" s="2"/>
    </row>
    <row r="530" spans="2:4" ht="16.5" customHeight="1">
      <c r="B530" s="155"/>
      <c r="C530" s="2"/>
      <c r="D530" s="2"/>
    </row>
    <row r="531" spans="2:4" ht="16.5" customHeight="1">
      <c r="B531" s="155"/>
      <c r="C531" s="2"/>
      <c r="D531" s="2"/>
    </row>
    <row r="532" spans="2:4" ht="16.5" customHeight="1">
      <c r="B532" s="155"/>
      <c r="C532" s="2"/>
      <c r="D532" s="2"/>
    </row>
    <row r="533" spans="2:4" ht="16.5" customHeight="1">
      <c r="B533" s="155"/>
      <c r="C533" s="2"/>
      <c r="D533" s="2"/>
    </row>
    <row r="534" spans="2:4" ht="16.5" customHeight="1">
      <c r="B534" s="155"/>
      <c r="C534" s="2"/>
      <c r="D534" s="2"/>
    </row>
    <row r="535" spans="2:4" ht="16.5" customHeight="1">
      <c r="B535" s="155"/>
      <c r="C535" s="2"/>
      <c r="D535" s="2"/>
    </row>
    <row r="536" spans="2:4" ht="16.5" customHeight="1">
      <c r="B536" s="155"/>
      <c r="C536" s="2"/>
      <c r="D536" s="2"/>
    </row>
    <row r="537" spans="2:4" ht="16.5" customHeight="1">
      <c r="B537" s="155"/>
      <c r="C537" s="2"/>
      <c r="D537" s="2"/>
    </row>
    <row r="538" spans="2:4" ht="16.5" customHeight="1">
      <c r="B538" s="155"/>
      <c r="C538" s="2"/>
      <c r="D538" s="2"/>
    </row>
    <row r="539" spans="2:4" ht="16.5" customHeight="1">
      <c r="B539" s="155"/>
      <c r="C539" s="2"/>
      <c r="D539" s="2"/>
    </row>
    <row r="540" spans="2:4" ht="16.5" customHeight="1">
      <c r="B540" s="155"/>
      <c r="C540" s="2"/>
      <c r="D540" s="2"/>
    </row>
    <row r="541" spans="2:4" ht="16.5" customHeight="1">
      <c r="B541" s="155"/>
      <c r="C541" s="2"/>
      <c r="D541" s="2"/>
    </row>
    <row r="542" spans="2:4" ht="16.5" customHeight="1">
      <c r="B542" s="155"/>
      <c r="C542" s="2"/>
      <c r="D542" s="2"/>
    </row>
    <row r="543" spans="2:4" ht="16.5" customHeight="1">
      <c r="B543" s="155"/>
      <c r="C543" s="2"/>
      <c r="D543" s="2"/>
    </row>
    <row r="544" spans="2:4" ht="16.5" customHeight="1">
      <c r="B544" s="155"/>
      <c r="C544" s="2"/>
      <c r="D544" s="2"/>
    </row>
    <row r="545" spans="2:4" ht="16.5" customHeight="1">
      <c r="B545" s="155"/>
      <c r="C545" s="2"/>
      <c r="D545" s="2"/>
    </row>
    <row r="546" spans="2:4" ht="16.5" customHeight="1">
      <c r="B546" s="155"/>
      <c r="C546" s="2"/>
      <c r="D546" s="2"/>
    </row>
    <row r="547" spans="2:4" ht="16.5" customHeight="1">
      <c r="B547" s="155"/>
      <c r="C547" s="2"/>
      <c r="D547" s="2"/>
    </row>
    <row r="548" spans="2:4" ht="16.5" customHeight="1">
      <c r="B548" s="155"/>
      <c r="C548" s="2"/>
      <c r="D548" s="2"/>
    </row>
    <row r="549" spans="2:4" ht="16.5" customHeight="1">
      <c r="B549" s="155"/>
      <c r="C549" s="2"/>
      <c r="D549" s="2"/>
    </row>
    <row r="550" spans="2:4" ht="16.5" customHeight="1">
      <c r="B550" s="155"/>
      <c r="C550" s="2"/>
      <c r="D550" s="2"/>
    </row>
    <row r="551" spans="2:4" ht="16.5" customHeight="1">
      <c r="B551" s="155"/>
      <c r="C551" s="2"/>
      <c r="D551" s="2"/>
    </row>
    <row r="552" spans="2:4" ht="16.5" customHeight="1">
      <c r="B552" s="155"/>
      <c r="C552" s="2"/>
      <c r="D552" s="2"/>
    </row>
    <row r="553" spans="2:4" ht="16.5" customHeight="1">
      <c r="B553" s="155"/>
      <c r="C553" s="2"/>
      <c r="D553" s="2"/>
    </row>
    <row r="554" spans="2:4" ht="16.5" customHeight="1">
      <c r="B554" s="155"/>
      <c r="C554" s="2"/>
      <c r="D554" s="2"/>
    </row>
    <row r="555" spans="2:4" ht="16.5" customHeight="1">
      <c r="B555" s="155"/>
      <c r="C555" s="2"/>
      <c r="D555" s="2"/>
    </row>
    <row r="556" spans="2:4" ht="16.5" customHeight="1">
      <c r="B556" s="155"/>
      <c r="C556" s="2"/>
      <c r="D556" s="2"/>
    </row>
    <row r="557" spans="2:4" ht="16.5" customHeight="1">
      <c r="B557" s="155"/>
      <c r="C557" s="2"/>
      <c r="D557" s="2"/>
    </row>
    <row r="558" spans="2:4" ht="16.5" customHeight="1">
      <c r="B558" s="155"/>
      <c r="C558" s="2"/>
      <c r="D558" s="2"/>
    </row>
    <row r="559" spans="2:4" ht="16.5" customHeight="1">
      <c r="B559" s="155"/>
      <c r="C559" s="2"/>
      <c r="D559" s="2"/>
    </row>
    <row r="560" spans="2:4" ht="16.5" customHeight="1">
      <c r="B560" s="155"/>
      <c r="C560" s="2"/>
      <c r="D560" s="2"/>
    </row>
    <row r="561" spans="2:4" ht="16.5" customHeight="1">
      <c r="B561" s="155"/>
      <c r="C561" s="2"/>
      <c r="D561" s="2"/>
    </row>
    <row r="562" spans="2:4" ht="16.5" customHeight="1">
      <c r="B562" s="155"/>
      <c r="C562" s="2"/>
      <c r="D562" s="2"/>
    </row>
    <row r="563" spans="2:4" ht="16.5" customHeight="1">
      <c r="B563" s="155"/>
      <c r="C563" s="2"/>
      <c r="D563" s="2"/>
    </row>
    <row r="564" spans="2:4" ht="16.5" customHeight="1">
      <c r="B564" s="155"/>
      <c r="C564" s="2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2:4" ht="16.5" customHeight="1">
      <c r="B611" s="155"/>
      <c r="C611" s="11"/>
      <c r="D611" s="2"/>
    </row>
    <row r="612" spans="2:4" ht="16.5" customHeight="1">
      <c r="B612" s="155"/>
      <c r="C612" s="11"/>
      <c r="D612" s="2"/>
    </row>
    <row r="613" spans="2:4" ht="16.5" customHeight="1">
      <c r="B613" s="155"/>
      <c r="C613" s="11"/>
      <c r="D613" s="2"/>
    </row>
    <row r="614" spans="2:4" ht="16.5" customHeight="1">
      <c r="B614" s="155"/>
      <c r="C614" s="11"/>
      <c r="D614" s="2"/>
    </row>
    <row r="615" spans="2:4" ht="16.5" customHeight="1">
      <c r="B615" s="155"/>
      <c r="C615" s="11"/>
      <c r="D615" s="2"/>
    </row>
    <row r="616" spans="2:4" ht="16.5" customHeight="1">
      <c r="B616" s="155"/>
      <c r="C616" s="11"/>
      <c r="D616" s="2"/>
    </row>
    <row r="617" spans="2:4" ht="16.5" customHeight="1">
      <c r="B617" s="155"/>
      <c r="C617" s="11"/>
      <c r="D617" s="2"/>
    </row>
    <row r="618" spans="2:4" ht="16.5" customHeight="1">
      <c r="B618" s="155"/>
      <c r="C618" s="11"/>
      <c r="D618" s="2"/>
    </row>
    <row r="619" spans="2:4" ht="16.5" customHeight="1">
      <c r="B619" s="155"/>
      <c r="C619" s="11"/>
      <c r="D619" s="2"/>
    </row>
    <row r="620" spans="2:4" ht="16.5" customHeight="1">
      <c r="B620" s="155"/>
      <c r="C620" s="11"/>
      <c r="D620" s="2"/>
    </row>
    <row r="621" spans="2:4" ht="16.5" customHeight="1">
      <c r="B621" s="155"/>
      <c r="C621" s="11"/>
      <c r="D621" s="2"/>
    </row>
    <row r="622" spans="2:4" ht="16.5" customHeight="1">
      <c r="B622" s="155"/>
      <c r="C622" s="11"/>
      <c r="D622" s="2"/>
    </row>
    <row r="623" spans="2:4" ht="16.5" customHeight="1">
      <c r="B623" s="155"/>
      <c r="C623" s="11"/>
      <c r="D623" s="2"/>
    </row>
    <row r="624" spans="2:4" ht="16.5" customHeight="1">
      <c r="B624" s="155"/>
      <c r="C624" s="11"/>
      <c r="D624" s="2"/>
    </row>
    <row r="625" spans="2:4" ht="16.5" customHeight="1">
      <c r="B625" s="155"/>
      <c r="C625" s="11"/>
      <c r="D625" s="2"/>
    </row>
    <row r="626" spans="2:4" ht="16.5" customHeight="1">
      <c r="B626" s="155"/>
      <c r="C626" s="11"/>
      <c r="D626" s="2"/>
    </row>
    <row r="627" spans="2:4" ht="16.5" customHeight="1">
      <c r="B627" s="155"/>
      <c r="C627" s="11"/>
      <c r="D627" s="2"/>
    </row>
    <row r="628" spans="2:4" ht="16.5" customHeight="1">
      <c r="B628" s="155"/>
      <c r="C628" s="11"/>
      <c r="D628" s="2"/>
    </row>
    <row r="629" spans="2:4" ht="16.5" customHeight="1">
      <c r="B629" s="155"/>
      <c r="C629" s="11"/>
      <c r="D629" s="2"/>
    </row>
    <row r="630" spans="2:4" ht="16.5" customHeight="1">
      <c r="B630" s="155"/>
      <c r="C630" s="11"/>
      <c r="D630" s="2"/>
    </row>
    <row r="631" spans="2:4" ht="16.5" customHeight="1">
      <c r="B631" s="155"/>
      <c r="C631" s="11"/>
      <c r="D631" s="2"/>
    </row>
    <row r="632" spans="2:4" ht="16.5" customHeight="1">
      <c r="B632" s="155"/>
      <c r="C632" s="11"/>
      <c r="D632" s="2"/>
    </row>
    <row r="633" spans="2:4" ht="16.5" customHeight="1">
      <c r="B633" s="155"/>
      <c r="C633" s="11"/>
      <c r="D633" s="2"/>
    </row>
    <row r="634" spans="2:4" ht="16.5" customHeight="1">
      <c r="B634" s="155"/>
      <c r="C634" s="11"/>
      <c r="D634" s="2"/>
    </row>
    <row r="635" spans="2:4" ht="16.5" customHeight="1">
      <c r="B635" s="155"/>
      <c r="C635" s="11"/>
      <c r="D635" s="2"/>
    </row>
    <row r="636" spans="2:4" ht="16.5" customHeight="1">
      <c r="B636" s="155"/>
      <c r="C636" s="11"/>
      <c r="D636" s="2"/>
    </row>
    <row r="637" spans="2:4" ht="16.5" customHeight="1">
      <c r="B637" s="155"/>
      <c r="C637" s="11"/>
      <c r="D637" s="2"/>
    </row>
    <row r="638" spans="2:4" ht="16.5" customHeight="1">
      <c r="B638" s="155"/>
      <c r="C638" s="11"/>
      <c r="D638" s="2"/>
    </row>
    <row r="639" spans="2:4" ht="16.5" customHeight="1">
      <c r="B639" s="155"/>
      <c r="C639" s="11"/>
      <c r="D639" s="2"/>
    </row>
    <row r="640" spans="2:4" ht="16.5" customHeight="1">
      <c r="B640" s="155"/>
      <c r="C640" s="11"/>
      <c r="D640" s="2"/>
    </row>
    <row r="641" spans="2:4" ht="16.5" customHeight="1">
      <c r="B641" s="155"/>
      <c r="C641" s="11"/>
      <c r="D641" s="2"/>
    </row>
    <row r="642" spans="2:4" ht="16.5" customHeight="1">
      <c r="B642" s="155"/>
      <c r="C642" s="11"/>
      <c r="D642" s="2"/>
    </row>
    <row r="643" spans="2:4" ht="16.5" customHeight="1">
      <c r="B643" s="155"/>
      <c r="C643" s="11"/>
      <c r="D643" s="2"/>
    </row>
    <row r="644" spans="2:4" ht="16.5" customHeight="1">
      <c r="B644" s="155"/>
      <c r="C644" s="11"/>
      <c r="D644" s="2"/>
    </row>
    <row r="645" spans="2:4" ht="16.5" customHeight="1">
      <c r="B645" s="155"/>
      <c r="C645" s="11"/>
      <c r="D645" s="2"/>
    </row>
    <row r="646" spans="2:4" ht="16.5" customHeight="1">
      <c r="B646" s="155"/>
      <c r="C646" s="11"/>
      <c r="D646" s="2"/>
    </row>
    <row r="647" spans="2:4" ht="16.5" customHeight="1">
      <c r="B647" s="155"/>
      <c r="C647" s="11"/>
      <c r="D647" s="2"/>
    </row>
    <row r="648" spans="2:4" ht="16.5" customHeight="1">
      <c r="B648" s="155"/>
      <c r="C648" s="11"/>
      <c r="D648" s="2"/>
    </row>
    <row r="649" spans="2:4" ht="16.5" customHeight="1">
      <c r="B649" s="155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1:4" ht="16.5" customHeight="1">
      <c r="A659" s="160"/>
      <c r="B659" s="160"/>
      <c r="C659" s="11"/>
      <c r="D659" s="2"/>
    </row>
    <row r="660" spans="1:4" ht="16.5" customHeight="1">
      <c r="A660" s="160"/>
      <c r="B660" s="160"/>
      <c r="C660" s="11"/>
      <c r="D660" s="2"/>
    </row>
    <row r="661" spans="1:4" ht="16.5" customHeight="1">
      <c r="A661" s="160"/>
      <c r="B661" s="160"/>
      <c r="C661" s="11"/>
      <c r="D661" s="2"/>
    </row>
    <row r="662" spans="1:4" ht="16.5" customHeight="1">
      <c r="A662" s="160"/>
      <c r="B662" s="160"/>
      <c r="C662" s="11"/>
      <c r="D662" s="2"/>
    </row>
    <row r="663" spans="1:4" ht="16.5" customHeight="1">
      <c r="A663" s="167"/>
      <c r="B663" s="167"/>
      <c r="C663" s="11"/>
      <c r="D663" s="2"/>
    </row>
    <row r="664" spans="1:4" ht="16.5" customHeight="1">
      <c r="A664" s="167"/>
      <c r="B664" s="167"/>
      <c r="C664" s="11"/>
      <c r="D664" s="2"/>
    </row>
    <row r="665" spans="1:4" ht="16.5" customHeight="1">
      <c r="A665" s="167"/>
      <c r="B665" s="167"/>
      <c r="C665" s="11"/>
      <c r="D665" s="2"/>
    </row>
    <row r="666" spans="1:4" ht="16.5" customHeight="1">
      <c r="A666" s="167"/>
      <c r="B666" s="167"/>
      <c r="C666" s="11"/>
      <c r="D666" s="2"/>
    </row>
    <row r="667" spans="1:4" ht="16.5" customHeight="1">
      <c r="A667" s="167"/>
      <c r="B667" s="167"/>
      <c r="C667" s="11"/>
      <c r="D667" s="2"/>
    </row>
    <row r="668" spans="1:4" ht="16.5" customHeight="1">
      <c r="A668" s="167"/>
      <c r="B668" s="167"/>
      <c r="C668" s="11"/>
      <c r="D668" s="2"/>
    </row>
    <row r="669" spans="1:4" ht="16.5" customHeight="1">
      <c r="A669" s="167"/>
      <c r="B669" s="167"/>
      <c r="C669" s="11"/>
      <c r="D669" s="2"/>
    </row>
    <row r="670" spans="1:4" ht="16.5" customHeight="1">
      <c r="A670" s="167"/>
      <c r="B670" s="167"/>
      <c r="C670" s="11"/>
      <c r="D670" s="2"/>
    </row>
    <row r="671" spans="1:4" ht="16.5" customHeight="1">
      <c r="A671" s="167"/>
      <c r="B671" s="167"/>
      <c r="C671" s="11"/>
      <c r="D671" s="2"/>
    </row>
    <row r="672" spans="1:4" ht="16.5" customHeight="1">
      <c r="A672" s="167"/>
      <c r="B672" s="167"/>
      <c r="C672" s="11"/>
      <c r="D672" s="2"/>
    </row>
    <row r="673" spans="1:4" ht="16.5" customHeight="1">
      <c r="A673" s="167"/>
      <c r="B673" s="167"/>
      <c r="C673" s="11"/>
      <c r="D673" s="2"/>
    </row>
    <row r="674" spans="1:4" ht="16.5" customHeight="1">
      <c r="A674" s="167"/>
      <c r="B674" s="167"/>
      <c r="C674" s="11"/>
      <c r="D674" s="2"/>
    </row>
    <row r="675" spans="1:4" ht="16.5" customHeight="1">
      <c r="A675" s="167"/>
      <c r="B675" s="167"/>
      <c r="C675" s="11"/>
      <c r="D675" s="2"/>
    </row>
    <row r="676" spans="1:4" ht="16.5" customHeight="1">
      <c r="A676" s="167"/>
      <c r="B676" s="167"/>
      <c r="C676" s="11"/>
      <c r="D676" s="2"/>
    </row>
    <row r="677" spans="1:4" ht="16.5" customHeight="1">
      <c r="A677" s="167"/>
      <c r="B677" s="167"/>
      <c r="C677" s="11"/>
      <c r="D677" s="2"/>
    </row>
    <row r="678" spans="1:4" ht="16.5" customHeight="1">
      <c r="A678" s="167"/>
      <c r="B678" s="167"/>
      <c r="C678" s="11"/>
      <c r="D678" s="2"/>
    </row>
    <row r="679" spans="1:4" ht="16.5" customHeight="1">
      <c r="A679" s="167"/>
      <c r="B679" s="167"/>
      <c r="C679" s="11"/>
      <c r="D679" s="2"/>
    </row>
    <row r="680" spans="1:4" ht="16.5" customHeight="1">
      <c r="A680" s="167"/>
      <c r="B680" s="167"/>
      <c r="C680" s="11"/>
      <c r="D680" s="2"/>
    </row>
    <row r="681" spans="1:4" ht="16.5" customHeight="1">
      <c r="A681" s="167"/>
      <c r="B681" s="167"/>
      <c r="C681" s="11"/>
      <c r="D681" s="2"/>
    </row>
    <row r="682" spans="1:4" ht="16.5" customHeight="1">
      <c r="A682" s="167"/>
      <c r="B682" s="167"/>
      <c r="C682" s="11"/>
      <c r="D682" s="2"/>
    </row>
    <row r="683" spans="1:4" ht="16.5" customHeight="1">
      <c r="A683" s="167"/>
      <c r="B683" s="167"/>
      <c r="C683" s="11"/>
      <c r="D683" s="2"/>
    </row>
    <row r="684" spans="1:4" ht="16.5" customHeight="1">
      <c r="A684" s="167"/>
      <c r="B684" s="169"/>
      <c r="C684" s="11"/>
      <c r="D684" s="2"/>
    </row>
    <row r="685" spans="1:4" ht="16.5" customHeight="1">
      <c r="A685" s="167"/>
      <c r="B685" s="170"/>
      <c r="C685" s="11"/>
      <c r="D685" s="2"/>
    </row>
    <row r="686" spans="1:4" ht="16.5" customHeight="1">
      <c r="A686" s="167"/>
      <c r="B686" s="167"/>
      <c r="C686" s="11"/>
      <c r="D686" s="2"/>
    </row>
    <row r="687" spans="1:4" ht="16.5" customHeight="1">
      <c r="A687" s="167"/>
      <c r="B687" s="167"/>
      <c r="C687" s="11"/>
      <c r="D687" s="2"/>
    </row>
    <row r="688" spans="1:4" ht="16.5" customHeight="1">
      <c r="A688" s="167"/>
      <c r="B688" s="167"/>
      <c r="C688" s="11"/>
      <c r="D688" s="2"/>
    </row>
    <row r="689" spans="1:4" ht="16.5" customHeight="1">
      <c r="A689" s="167"/>
      <c r="B689" s="167"/>
      <c r="C689" s="11"/>
      <c r="D689" s="2"/>
    </row>
    <row r="690" spans="1:4" ht="16.5" customHeight="1">
      <c r="A690" s="167"/>
      <c r="B690" s="167"/>
      <c r="C690" s="11"/>
      <c r="D690" s="2"/>
    </row>
    <row r="691" spans="1:4" ht="16.5" customHeight="1">
      <c r="A691" s="167"/>
      <c r="B691" s="167"/>
      <c r="C691" s="11"/>
      <c r="D691" s="2"/>
    </row>
    <row r="692" spans="1:4" ht="16.5" customHeight="1">
      <c r="A692" s="167"/>
      <c r="B692" s="167"/>
      <c r="C692" s="11"/>
      <c r="D692" s="2"/>
    </row>
    <row r="693" spans="1:4" ht="16.5" customHeight="1">
      <c r="A693" s="160"/>
      <c r="B693" s="160"/>
      <c r="C693" s="11"/>
      <c r="D693" s="2"/>
    </row>
    <row r="694" spans="1:4" ht="16.5" customHeight="1">
      <c r="A694" s="160"/>
      <c r="B694" s="160"/>
      <c r="C694" s="11"/>
      <c r="D694" s="2"/>
    </row>
    <row r="695" spans="1:4" ht="16.5" customHeight="1">
      <c r="A695" s="160"/>
      <c r="B695" s="160"/>
      <c r="C695" s="11"/>
      <c r="D695" s="2"/>
    </row>
    <row r="696" spans="1:4" ht="16.5" customHeight="1">
      <c r="A696" s="160"/>
      <c r="B696" s="160"/>
      <c r="C696" s="11"/>
      <c r="D696" s="2"/>
    </row>
    <row r="697" spans="1:4" ht="16.5" customHeight="1">
      <c r="A697" s="160"/>
      <c r="B697" s="160"/>
      <c r="C697" s="11"/>
      <c r="D697" s="2"/>
    </row>
    <row r="698" spans="1:4" ht="16.5" customHeight="1">
      <c r="A698" s="160"/>
      <c r="B698" s="160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  <row r="853" spans="2:4" ht="16.5" customHeight="1">
      <c r="B853" s="155"/>
      <c r="C853" s="11"/>
      <c r="D853" s="2"/>
    </row>
    <row r="854" spans="2:4" ht="16.5" customHeight="1">
      <c r="B854" s="155"/>
      <c r="C854" s="11"/>
      <c r="D854" s="2"/>
    </row>
    <row r="855" spans="2:4" ht="16.5" customHeight="1">
      <c r="B855" s="155"/>
      <c r="C855" s="11"/>
      <c r="D855" s="2"/>
    </row>
    <row r="856" spans="2:4" ht="16.5" customHeight="1">
      <c r="B856" s="155"/>
      <c r="C856" s="11"/>
      <c r="D856" s="2"/>
    </row>
    <row r="857" spans="2:4" ht="16.5" customHeight="1">
      <c r="B857" s="155"/>
      <c r="C857" s="11"/>
      <c r="D857" s="2"/>
    </row>
    <row r="858" spans="2:4" ht="16.5" customHeight="1">
      <c r="B858" s="155"/>
      <c r="C858" s="11"/>
      <c r="D858" s="2"/>
    </row>
    <row r="859" spans="2:4" ht="16.5" customHeight="1">
      <c r="B859" s="155"/>
      <c r="C859" s="11"/>
      <c r="D859" s="2"/>
    </row>
    <row r="860" spans="2:4" ht="16.5" customHeight="1">
      <c r="B860" s="155"/>
      <c r="C860" s="11"/>
      <c r="D860" s="2"/>
    </row>
    <row r="861" spans="2:4" ht="16.5" customHeight="1">
      <c r="B861" s="155"/>
      <c r="C861" s="11"/>
      <c r="D861" s="2"/>
    </row>
    <row r="862" spans="2:4" ht="16.5" customHeight="1">
      <c r="B862" s="155"/>
      <c r="C862" s="11"/>
      <c r="D862" s="2"/>
    </row>
    <row r="863" spans="2:4" ht="16.5" customHeight="1">
      <c r="B863" s="155"/>
      <c r="C863" s="11"/>
      <c r="D863" s="2"/>
    </row>
    <row r="864" spans="2:4" ht="16.5" customHeight="1">
      <c r="B864" s="155"/>
      <c r="C864" s="11"/>
      <c r="D864" s="2"/>
    </row>
    <row r="865" spans="2:4" ht="16.5" customHeight="1">
      <c r="B865" s="155"/>
      <c r="C865" s="11"/>
      <c r="D865" s="2"/>
    </row>
    <row r="866" spans="2:4" ht="16.5" customHeight="1">
      <c r="B866" s="155"/>
      <c r="C866" s="11"/>
      <c r="D866" s="2"/>
    </row>
    <row r="867" spans="2:4" ht="16.5" customHeight="1">
      <c r="B867" s="155"/>
      <c r="C867" s="11"/>
      <c r="D867" s="2"/>
    </row>
    <row r="868" spans="2:4" ht="16.5" customHeight="1">
      <c r="B868" s="155"/>
      <c r="C868" s="11"/>
      <c r="D868" s="2"/>
    </row>
    <row r="869" spans="2:4" ht="16.5" customHeight="1">
      <c r="B869" s="155"/>
      <c r="C869" s="11"/>
      <c r="D869" s="2"/>
    </row>
    <row r="870" spans="2:4" ht="16.5" customHeight="1">
      <c r="B870" s="155"/>
      <c r="C870" s="11"/>
      <c r="D870" s="2"/>
    </row>
    <row r="871" spans="2:4" ht="16.5" customHeight="1">
      <c r="B871" s="155"/>
      <c r="C871" s="11"/>
      <c r="D871" s="2"/>
    </row>
    <row r="872" spans="2:4" ht="16.5" customHeight="1">
      <c r="B872" s="155"/>
      <c r="C872" s="11"/>
      <c r="D872" s="2"/>
    </row>
    <row r="873" spans="2:4" ht="16.5" customHeight="1">
      <c r="B873" s="155"/>
      <c r="C873" s="11"/>
      <c r="D873" s="2"/>
    </row>
    <row r="874" spans="2:4" ht="16.5" customHeight="1">
      <c r="B874" s="155"/>
      <c r="C874" s="11"/>
      <c r="D874" s="2"/>
    </row>
    <row r="875" spans="2:4" ht="16.5" customHeight="1">
      <c r="B875" s="155"/>
      <c r="C875" s="11"/>
      <c r="D875" s="2"/>
    </row>
    <row r="876" spans="2:4" ht="16.5" customHeight="1">
      <c r="B876" s="155"/>
      <c r="C876" s="11"/>
      <c r="D876" s="2"/>
    </row>
    <row r="877" spans="2:4" ht="16.5" customHeight="1">
      <c r="B877" s="155"/>
      <c r="C877" s="11"/>
      <c r="D877" s="2"/>
    </row>
    <row r="878" spans="2:4" ht="16.5" customHeight="1">
      <c r="B878" s="155"/>
      <c r="C878" s="11"/>
      <c r="D878" s="2"/>
    </row>
    <row r="879" spans="2:4" ht="16.5" customHeight="1">
      <c r="B879" s="155"/>
      <c r="C879" s="11"/>
      <c r="D879" s="2"/>
    </row>
    <row r="880" spans="2:4" ht="16.5" customHeight="1">
      <c r="B880" s="155"/>
      <c r="C880" s="11"/>
      <c r="D880" s="2"/>
    </row>
    <row r="881" spans="2:4" ht="16.5" customHeight="1">
      <c r="B881" s="155"/>
      <c r="C881" s="11"/>
      <c r="D881" s="2"/>
    </row>
    <row r="882" spans="2:4" ht="16.5" customHeight="1">
      <c r="B882" s="155"/>
      <c r="C882" s="11"/>
      <c r="D882" s="2"/>
    </row>
    <row r="883" spans="2:4" ht="16.5" customHeight="1">
      <c r="B883" s="155"/>
      <c r="C883" s="11"/>
      <c r="D883" s="2"/>
    </row>
    <row r="884" spans="2:4" ht="16.5" customHeight="1">
      <c r="B884" s="155"/>
      <c r="C884" s="11"/>
      <c r="D884" s="2"/>
    </row>
    <row r="885" spans="2:4" ht="16.5" customHeight="1">
      <c r="B885" s="155"/>
      <c r="C885" s="11"/>
      <c r="D885" s="2"/>
    </row>
    <row r="886" spans="2:4" ht="16.5" customHeight="1">
      <c r="B886" s="155"/>
      <c r="C886" s="11"/>
      <c r="D886" s="2"/>
    </row>
    <row r="887" spans="2:4" ht="16.5" customHeight="1">
      <c r="B887" s="155"/>
      <c r="C887" s="11"/>
      <c r="D887" s="2"/>
    </row>
    <row r="888" spans="2:4" ht="16.5" customHeight="1">
      <c r="B888" s="155"/>
      <c r="C888" s="11"/>
      <c r="D888" s="2"/>
    </row>
    <row r="889" spans="2:4" ht="16.5" customHeight="1">
      <c r="B889" s="155"/>
      <c r="C889" s="11"/>
      <c r="D889" s="2"/>
    </row>
    <row r="890" spans="2:4" ht="16.5" customHeight="1">
      <c r="B890" s="155"/>
      <c r="C890" s="11"/>
      <c r="D890" s="2"/>
    </row>
    <row r="891" spans="2:4" ht="16.5" customHeight="1">
      <c r="B891" s="155"/>
      <c r="C891" s="11"/>
      <c r="D891" s="2"/>
    </row>
    <row r="892" spans="2:4" ht="16.5" customHeight="1">
      <c r="B892" s="155"/>
      <c r="C892" s="11"/>
      <c r="D892" s="2"/>
    </row>
    <row r="893" spans="2:4" ht="16.5" customHeight="1">
      <c r="B893" s="155"/>
      <c r="C893" s="11"/>
      <c r="D893" s="2"/>
    </row>
    <row r="894" spans="2:4" ht="16.5" customHeight="1">
      <c r="B894" s="155"/>
      <c r="C894" s="11"/>
      <c r="D894" s="2"/>
    </row>
    <row r="895" spans="2:4" ht="16.5" customHeight="1">
      <c r="B895" s="155"/>
      <c r="C895" s="11"/>
      <c r="D895" s="2"/>
    </row>
    <row r="896" spans="2:4" ht="16.5" customHeight="1">
      <c r="B896" s="155"/>
      <c r="C896" s="11"/>
      <c r="D896" s="2"/>
    </row>
    <row r="897" spans="2:4" ht="16.5" customHeight="1">
      <c r="B897" s="155"/>
      <c r="C897" s="11"/>
      <c r="D897" s="2"/>
    </row>
    <row r="898" spans="2:4" ht="16.5" customHeight="1">
      <c r="B898" s="155"/>
      <c r="C898" s="11"/>
      <c r="D898" s="2"/>
    </row>
    <row r="899" spans="2:4" ht="16.5" customHeight="1">
      <c r="B899" s="155"/>
      <c r="C899" s="11"/>
      <c r="D899" s="2"/>
    </row>
    <row r="900" spans="2:4" ht="16.5" customHeight="1">
      <c r="B900" s="155"/>
      <c r="C900" s="11"/>
      <c r="D900" s="2"/>
    </row>
  </sheetData>
  <sheetProtection/>
  <mergeCells count="8">
    <mergeCell ref="A3:D3"/>
    <mergeCell ref="A105:D105"/>
    <mergeCell ref="A106:D106"/>
    <mergeCell ref="A1:D1"/>
    <mergeCell ref="A2:D2"/>
    <mergeCell ref="A59:D59"/>
    <mergeCell ref="A60:D60"/>
    <mergeCell ref="A104:D10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88">
      <selection activeCell="K92" sqref="K92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ht="16.5">
      <c r="A2" s="354" t="s">
        <v>477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6.5">
      <c r="A3" s="355" t="s">
        <v>549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="123" customFormat="1" ht="14.25">
      <c r="Q4" s="191"/>
    </row>
    <row r="5" spans="1:18" s="64" customFormat="1" ht="14.25">
      <c r="A5" s="65" t="s">
        <v>115</v>
      </c>
      <c r="B5" s="352" t="s">
        <v>92</v>
      </c>
      <c r="C5" s="353" t="s">
        <v>93</v>
      </c>
      <c r="D5" s="353"/>
      <c r="E5" s="353"/>
      <c r="F5" s="87" t="s">
        <v>94</v>
      </c>
      <c r="G5" s="353" t="s">
        <v>95</v>
      </c>
      <c r="H5" s="353"/>
      <c r="I5" s="353" t="s">
        <v>96</v>
      </c>
      <c r="J5" s="353"/>
      <c r="K5" s="353" t="s">
        <v>98</v>
      </c>
      <c r="L5" s="353"/>
      <c r="M5" s="348" t="s">
        <v>391</v>
      </c>
      <c r="N5" s="349"/>
      <c r="O5" s="348" t="s">
        <v>99</v>
      </c>
      <c r="P5" s="349"/>
      <c r="Q5" s="214" t="s">
        <v>113</v>
      </c>
      <c r="R5" s="350" t="s">
        <v>19</v>
      </c>
    </row>
    <row r="6" spans="1:18" s="64" customFormat="1" ht="14.25">
      <c r="A6" s="66" t="s">
        <v>116</v>
      </c>
      <c r="B6" s="352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464</v>
      </c>
      <c r="N6" s="87" t="s">
        <v>390</v>
      </c>
      <c r="O6" s="87" t="s">
        <v>109</v>
      </c>
      <c r="P6" s="87" t="s">
        <v>110</v>
      </c>
      <c r="Q6" s="192" t="s">
        <v>114</v>
      </c>
      <c r="R6" s="351"/>
    </row>
    <row r="7" spans="1:18" ht="14.25">
      <c r="A7" s="88" t="s">
        <v>254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255</v>
      </c>
      <c r="B8" s="67">
        <f>94000-6152-5752-5752-5752-5752-5752-5560-5002-5002-5502-5607</f>
        <v>32415</v>
      </c>
      <c r="C8" s="67" t="s">
        <v>252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32415</v>
      </c>
    </row>
    <row r="9" spans="1:18" ht="14.25">
      <c r="A9" s="90" t="s">
        <v>256</v>
      </c>
      <c r="B9" s="70">
        <f>30000-2500-2500-2000-2000-2000-2000-2000-2000-2000-2000-2000</f>
        <v>7000</v>
      </c>
      <c r="C9" s="70"/>
      <c r="D9" s="70"/>
      <c r="E9" s="70"/>
      <c r="F9" s="70" t="s">
        <v>252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7000</v>
      </c>
    </row>
    <row r="10" spans="1:18" ht="14.25">
      <c r="A10" s="90" t="s">
        <v>257</v>
      </c>
      <c r="B10" s="70">
        <f>287540-46000-14445-79815+150000-30300</f>
        <v>266980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266980</v>
      </c>
    </row>
    <row r="11" spans="1:18" ht="14.25">
      <c r="A11" s="90" t="s">
        <v>258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259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500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326401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326401</v>
      </c>
    </row>
    <row r="15" spans="1:18" ht="15" thickTop="1">
      <c r="A15" s="92" t="s">
        <v>260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261</v>
      </c>
      <c r="B16" s="76"/>
      <c r="C16" s="70">
        <f>520000-42840-42840-42840-42840-42840-42840-42840-42840-42840-42840-42840</f>
        <v>48760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48760</v>
      </c>
    </row>
    <row r="17" spans="1:18" ht="14.25">
      <c r="A17" s="89" t="s">
        <v>262</v>
      </c>
      <c r="B17" s="77"/>
      <c r="C17" s="77">
        <f>43000-3510-3510-3510-3510-3510-3510-3510-3510-3510-3510-3510</f>
        <v>4390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4390</v>
      </c>
    </row>
    <row r="18" spans="1:18" ht="14.25">
      <c r="A18" s="90" t="s">
        <v>263</v>
      </c>
      <c r="B18" s="76"/>
      <c r="C18" s="76">
        <f>43000-3510-3510-3510-3510-3510-3510-3510-3510-3510-3510-3510</f>
        <v>4390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4390</v>
      </c>
    </row>
    <row r="19" spans="1:18" ht="14.25">
      <c r="A19" s="90" t="s">
        <v>264</v>
      </c>
      <c r="B19" s="76"/>
      <c r="C19" s="70">
        <f>87000-7200-7200-7200-7200-7200-7200-7200-7200-7200-7200-7200</f>
        <v>7800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7800</v>
      </c>
    </row>
    <row r="20" spans="1:18" ht="14.25">
      <c r="A20" s="89" t="s">
        <v>265</v>
      </c>
      <c r="B20" s="77"/>
      <c r="C20" s="77">
        <f>2059600-171600-171600-171600-171600-171600-171600-171600-171600-171600-171600-171600</f>
        <v>172000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172000</v>
      </c>
    </row>
    <row r="21" spans="1:18" ht="14.25">
      <c r="A21" s="90" t="s">
        <v>266</v>
      </c>
      <c r="B21" s="76"/>
      <c r="C21" s="70">
        <f>87000-7200-7200-7200-7200-7200-7200-7200-7200-7200-7200-7200</f>
        <v>7800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7800</v>
      </c>
    </row>
    <row r="22" spans="1:18" ht="15" thickBot="1">
      <c r="A22" s="90" t="s">
        <v>36</v>
      </c>
      <c r="B22" s="93"/>
      <c r="C22" s="80">
        <f>SUM(C16:C21)</f>
        <v>245140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245140</v>
      </c>
    </row>
    <row r="23" spans="1:18" ht="15" thickTop="1">
      <c r="A23" s="89" t="s">
        <v>267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268</v>
      </c>
      <c r="B24" s="76"/>
      <c r="C24" s="76">
        <f>2166000-170400-169270-169270-241193-174610-174610-178780-178780-178780+10000-179476-179050</f>
        <v>181781</v>
      </c>
      <c r="D24" s="76"/>
      <c r="E24" s="76">
        <f>1123800-87010-87010-87010-137229-90340-90340-92440-92440-92440+15000-92493-92460</f>
        <v>97588</v>
      </c>
      <c r="F24" s="76"/>
      <c r="G24" s="76">
        <f>280500-21620-21620-21620-33460-22490-22490-23080-23080-23080+3000-23080+100000-23080</f>
        <v>124800</v>
      </c>
      <c r="H24" s="76"/>
      <c r="I24" s="76">
        <f>189600-150000</f>
        <v>39600</v>
      </c>
      <c r="J24" s="76"/>
      <c r="K24" s="76">
        <f>720000-54890-54890-54890-72101-66444-59730-59850-59850-59850+4000-59850-59850</f>
        <v>61805</v>
      </c>
      <c r="L24" s="76"/>
      <c r="M24" s="76"/>
      <c r="N24" s="76"/>
      <c r="O24" s="76"/>
      <c r="P24" s="70"/>
      <c r="Q24" s="76"/>
      <c r="R24" s="70">
        <f>SUM(C24:Q24)</f>
        <v>505574</v>
      </c>
    </row>
    <row r="25" spans="1:18" ht="14.25">
      <c r="A25" s="90" t="s">
        <v>269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24000-2000-2000-2000-2000-1775-1775-1325-1325-1325-4000-1325-1325</f>
        <v>1825</v>
      </c>
      <c r="L25" s="76"/>
      <c r="M25" s="76"/>
      <c r="N25" s="76"/>
      <c r="O25" s="76"/>
      <c r="P25" s="70"/>
      <c r="Q25" s="76"/>
      <c r="R25" s="70">
        <f>SUM(C25:P25)</f>
        <v>1825</v>
      </c>
    </row>
    <row r="26" spans="1:18" ht="14.25">
      <c r="A26" s="89" t="s">
        <v>270</v>
      </c>
      <c r="B26" s="77"/>
      <c r="C26" s="77">
        <f>176500-14700-14700-14700-14700-14700-14700-14700-28700-17500+26000-17500-17500</f>
        <v>18400</v>
      </c>
      <c r="D26" s="77"/>
      <c r="E26" s="77">
        <f>42000-3500-3500-3500-3500-3500-3500-3500-3500-3500-3500-3500</f>
        <v>3500</v>
      </c>
      <c r="F26" s="77"/>
      <c r="G26" s="77">
        <f>42000-3500-3500-3500-3500-3500-3500-3500-3500-3500-3500-3500</f>
        <v>3500</v>
      </c>
      <c r="H26" s="77"/>
      <c r="I26" s="77">
        <v>42000</v>
      </c>
      <c r="J26" s="77"/>
      <c r="K26" s="77">
        <f>42000-3500-3500-3500-3500-3500-3500-3500-3500-3500-3500-3500</f>
        <v>3500</v>
      </c>
      <c r="L26" s="77"/>
      <c r="M26" s="77"/>
      <c r="N26" s="77"/>
      <c r="O26" s="77"/>
      <c r="P26" s="67"/>
      <c r="Q26" s="77"/>
      <c r="R26" s="67">
        <f>SUM(C26:P26)</f>
        <v>70900</v>
      </c>
    </row>
    <row r="27" spans="1:18" ht="15" thickBot="1">
      <c r="A27" s="90" t="s">
        <v>36</v>
      </c>
      <c r="B27" s="93"/>
      <c r="C27" s="80">
        <f>SUM(C24:C26)</f>
        <v>200181</v>
      </c>
      <c r="D27" s="93"/>
      <c r="E27" s="93">
        <f>SUM(E24:E26)</f>
        <v>101088</v>
      </c>
      <c r="F27" s="93">
        <v>0</v>
      </c>
      <c r="G27" s="93">
        <f>SUM(G24:G26)</f>
        <v>128300</v>
      </c>
      <c r="H27" s="93">
        <v>0</v>
      </c>
      <c r="I27" s="93">
        <f>SUM(I24:I26)</f>
        <v>81600</v>
      </c>
      <c r="J27" s="93">
        <v>0</v>
      </c>
      <c r="K27" s="93">
        <f>SUM(K24:K26)</f>
        <v>67130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578299</v>
      </c>
    </row>
    <row r="28" spans="1:18" ht="15" thickTop="1">
      <c r="A28" s="89" t="s">
        <v>267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271</v>
      </c>
      <c r="B29" s="76"/>
      <c r="C29" s="76">
        <f>170000-12810-12810-12810-13385-13310-13310-13760-13760-13760-8000-13760-13760</f>
        <v>14765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14765</v>
      </c>
    </row>
    <row r="30" spans="1:18" ht="14.25">
      <c r="A30" s="89" t="s">
        <v>272</v>
      </c>
      <c r="B30" s="78"/>
      <c r="C30" s="77">
        <f>12000-475-475-475-10000</f>
        <v>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575</v>
      </c>
    </row>
    <row r="31" spans="1:18" ht="15" thickBot="1">
      <c r="A31" s="90" t="s">
        <v>36</v>
      </c>
      <c r="B31" s="93"/>
      <c r="C31" s="80">
        <f>SUM(C29:C30)</f>
        <v>15340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15340</v>
      </c>
    </row>
    <row r="32" ht="15" thickTop="1">
      <c r="C32" s="196"/>
    </row>
    <row r="43" spans="1:18" s="64" customFormat="1" ht="14.25">
      <c r="A43" s="65" t="s">
        <v>115</v>
      </c>
      <c r="B43" s="352" t="s">
        <v>92</v>
      </c>
      <c r="C43" s="353" t="s">
        <v>93</v>
      </c>
      <c r="D43" s="353"/>
      <c r="E43" s="353"/>
      <c r="F43" s="87" t="s">
        <v>94</v>
      </c>
      <c r="G43" s="353" t="s">
        <v>95</v>
      </c>
      <c r="H43" s="353"/>
      <c r="I43" s="353" t="s">
        <v>96</v>
      </c>
      <c r="J43" s="353"/>
      <c r="K43" s="353" t="s">
        <v>98</v>
      </c>
      <c r="L43" s="353"/>
      <c r="M43" s="348" t="s">
        <v>391</v>
      </c>
      <c r="N43" s="349"/>
      <c r="O43" s="353" t="s">
        <v>99</v>
      </c>
      <c r="P43" s="353"/>
      <c r="Q43" s="214"/>
      <c r="R43" s="350" t="s">
        <v>19</v>
      </c>
    </row>
    <row r="44" spans="1:18" s="64" customFormat="1" ht="14.25">
      <c r="A44" s="66" t="s">
        <v>116</v>
      </c>
      <c r="B44" s="352"/>
      <c r="C44" s="87" t="s">
        <v>100</v>
      </c>
      <c r="D44" s="87" t="s">
        <v>111</v>
      </c>
      <c r="E44" s="87" t="s">
        <v>101</v>
      </c>
      <c r="F44" s="87" t="s">
        <v>102</v>
      </c>
      <c r="G44" s="87" t="s">
        <v>103</v>
      </c>
      <c r="H44" s="87" t="s">
        <v>104</v>
      </c>
      <c r="I44" s="87" t="s">
        <v>105</v>
      </c>
      <c r="J44" s="87" t="s">
        <v>106</v>
      </c>
      <c r="K44" s="87" t="s">
        <v>107</v>
      </c>
      <c r="L44" s="87" t="s">
        <v>108</v>
      </c>
      <c r="M44" s="87" t="s">
        <v>464</v>
      </c>
      <c r="N44" s="87" t="s">
        <v>390</v>
      </c>
      <c r="O44" s="87" t="s">
        <v>109</v>
      </c>
      <c r="P44" s="87" t="s">
        <v>110</v>
      </c>
      <c r="Q44" s="192" t="s">
        <v>114</v>
      </c>
      <c r="R44" s="351"/>
    </row>
    <row r="45" spans="1:18" ht="14.25">
      <c r="A45" s="92" t="s">
        <v>267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273</v>
      </c>
      <c r="B46" s="70"/>
      <c r="C46" s="70">
        <f>376000-29760-29760-29760-29760-29760-29760-29760-29760-29760-18000-29760-29760</f>
        <v>30640</v>
      </c>
      <c r="D46" s="70"/>
      <c r="E46" s="70">
        <f>451000-21150-21150-21150-21150-21150-21150-21150-21150-21150-15000-21150-19408</f>
        <v>205092</v>
      </c>
      <c r="F46" s="70"/>
      <c r="G46" s="70">
        <f>444500-26620-26620-26620-26620-26620-26620-20153-9000-9000-3000-40570-100000-22354</f>
        <v>80703</v>
      </c>
      <c r="H46" s="70">
        <f>51000-51000</f>
        <v>0</v>
      </c>
      <c r="I46" s="70">
        <f>112500-9000-9000-9000-9000-9000-9000-9000-9000-9000-9000-9000</f>
        <v>13500</v>
      </c>
      <c r="J46" s="70"/>
      <c r="K46" s="70">
        <f>240000-19080-19080-19080-19080-19080-19080-19080-19080-19080-19080-19080</f>
        <v>30120</v>
      </c>
      <c r="L46" s="70"/>
      <c r="M46" s="70"/>
      <c r="N46" s="70"/>
      <c r="O46" s="70"/>
      <c r="P46" s="70"/>
      <c r="Q46" s="70"/>
      <c r="R46" s="70">
        <f>SUM(C46:Q46)</f>
        <v>360055</v>
      </c>
    </row>
    <row r="47" spans="1:18" ht="14.25">
      <c r="A47" s="89" t="s">
        <v>274</v>
      </c>
      <c r="B47" s="67"/>
      <c r="C47" s="67">
        <f>60000-4925-4925-4925-4925-4925-4925-4925-4925-4925-4925-4925</f>
        <v>5825</v>
      </c>
      <c r="D47" s="67"/>
      <c r="E47" s="67">
        <f>36000-2135-2135-2135-2135-2135-2135-2135-2135-2135-2135-1135</f>
        <v>13515</v>
      </c>
      <c r="F47" s="67"/>
      <c r="G47" s="67">
        <f>24000-1000-1000-1000-1000-1000-1000-1000-1000-1000-2000-2483</f>
        <v>10517</v>
      </c>
      <c r="H47" s="67"/>
      <c r="I47" s="67">
        <f>12000-1000-1000-1000-1000-1000-1000-1000-1000-1000-1000-1000</f>
        <v>1000</v>
      </c>
      <c r="J47" s="67"/>
      <c r="K47" s="67">
        <f>36000-3000-3000-3000-3000-3000-3000-3000-3000-3000-3000-3000</f>
        <v>3000</v>
      </c>
      <c r="L47" s="67"/>
      <c r="M47" s="67"/>
      <c r="N47" s="67"/>
      <c r="O47" s="67"/>
      <c r="P47" s="67"/>
      <c r="Q47" s="67"/>
      <c r="R47" s="67">
        <f>SUM(C47:Q47)</f>
        <v>33857</v>
      </c>
    </row>
    <row r="48" spans="1:18" ht="15" thickBot="1">
      <c r="A48" s="90" t="s">
        <v>36</v>
      </c>
      <c r="B48" s="61"/>
      <c r="C48" s="72">
        <f>SUM(C46:C47)</f>
        <v>36465</v>
      </c>
      <c r="D48" s="61">
        <f>SUM(D46:D47)</f>
        <v>0</v>
      </c>
      <c r="E48" s="61">
        <f>SUM(E45:E47)</f>
        <v>218607</v>
      </c>
      <c r="F48" s="61">
        <v>0</v>
      </c>
      <c r="G48" s="61">
        <f>SUM(G46:G47)</f>
        <v>91220</v>
      </c>
      <c r="H48" s="61">
        <f>SUM(H46)</f>
        <v>0</v>
      </c>
      <c r="I48" s="61">
        <f>SUM(I46:I47)</f>
        <v>14500</v>
      </c>
      <c r="J48" s="61">
        <v>0</v>
      </c>
      <c r="K48" s="61">
        <f>SUM(K46:K47)</f>
        <v>33120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393912</v>
      </c>
    </row>
    <row r="49" spans="1:18" ht="15" thickTop="1">
      <c r="A49" s="92" t="s">
        <v>275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276</v>
      </c>
      <c r="B50" s="76"/>
      <c r="C50" s="76">
        <f>220000-6763-40000+50000</f>
        <v>223237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129000-2800-4900-7000-16100-3500</f>
        <v>94700</v>
      </c>
      <c r="L50" s="76">
        <v>0</v>
      </c>
      <c r="M50" s="76"/>
      <c r="N50" s="76"/>
      <c r="O50" s="76"/>
      <c r="P50" s="70"/>
      <c r="Q50" s="76"/>
      <c r="R50" s="70">
        <f>SUM(C50:P50)</f>
        <v>517937</v>
      </c>
    </row>
    <row r="51" spans="1:18" ht="14.25">
      <c r="A51" s="89" t="s">
        <v>277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278</v>
      </c>
      <c r="B52" s="76"/>
      <c r="C52" s="76">
        <f>170000-10000-10000-10000-10000-10000-10000-10000-10000-10000-50000-10000-10000</f>
        <v>10000</v>
      </c>
      <c r="D52" s="76"/>
      <c r="E52" s="76">
        <f>60000-3000-21000-3000-3000-3000-3000-3000-3000-3000-3000-3000-3000</f>
        <v>6000</v>
      </c>
      <c r="F52" s="76"/>
      <c r="G52" s="76">
        <f>36000-3000-3000-3000-3000-3000-3000-3000-3000-3000-3000-3000</f>
        <v>3000</v>
      </c>
      <c r="H52" s="76"/>
      <c r="I52" s="76"/>
      <c r="J52" s="76"/>
      <c r="K52" s="76">
        <f>84000-7500-7500-7500-7500-7500-7500-7500-7500-7500+7000-7500-7500</f>
        <v>8500</v>
      </c>
      <c r="L52" s="76"/>
      <c r="M52" s="76"/>
      <c r="N52" s="76"/>
      <c r="O52" s="76"/>
      <c r="P52" s="70"/>
      <c r="Q52" s="76"/>
      <c r="R52" s="70">
        <f>SUM(C52:P52)</f>
        <v>27500</v>
      </c>
    </row>
    <row r="53" spans="1:18" ht="14.25">
      <c r="A53" s="90" t="s">
        <v>279</v>
      </c>
      <c r="B53" s="76"/>
      <c r="C53" s="76">
        <f>65000-2671-8650-6961-8650</f>
        <v>38068</v>
      </c>
      <c r="D53" s="76"/>
      <c r="E53" s="76">
        <f>10000-5000-1000</f>
        <v>4000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42068</v>
      </c>
    </row>
    <row r="54" spans="1:18" ht="15" thickBot="1">
      <c r="A54" s="90" t="s">
        <v>36</v>
      </c>
      <c r="B54" s="93"/>
      <c r="C54" s="80">
        <f>SUM(C50:C53)</f>
        <v>281305</v>
      </c>
      <c r="D54" s="93">
        <v>0</v>
      </c>
      <c r="E54" s="93">
        <f>SUM(E50:E53)</f>
        <v>135000</v>
      </c>
      <c r="F54" s="93">
        <v>0</v>
      </c>
      <c r="G54" s="93">
        <f>SUM(G50:G53)</f>
        <v>88000</v>
      </c>
      <c r="H54" s="93">
        <v>0</v>
      </c>
      <c r="I54" s="93">
        <f>SUM(I50:I53)</f>
        <v>10000</v>
      </c>
      <c r="J54" s="93"/>
      <c r="K54" s="93">
        <f>SUM(K50:K53)</f>
        <v>108200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622505</v>
      </c>
    </row>
    <row r="55" spans="1:18" ht="15" thickTop="1">
      <c r="A55" s="94" t="s">
        <v>281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282</v>
      </c>
      <c r="B56" s="82"/>
      <c r="C56" s="82">
        <f>380000-12952-29679.7-21428-116514.35-32279.2-58957.95+40000-18014.35-22465-19185.5+45000-42660-36480.8</f>
        <v>54383.14999999998</v>
      </c>
      <c r="D56" s="82"/>
      <c r="E56" s="82">
        <f>50000-14600-13600-8600+20000-8900</f>
        <v>24300</v>
      </c>
      <c r="F56" s="82"/>
      <c r="G56" s="82">
        <f>45000-9572-9600</f>
        <v>25828</v>
      </c>
      <c r="H56" s="82"/>
      <c r="I56" s="82"/>
      <c r="J56" s="82"/>
      <c r="K56" s="82">
        <f>80000-14000-6800+2000-1800-15400-11200</f>
        <v>32800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137311.14999999997</v>
      </c>
    </row>
    <row r="57" spans="1:18" ht="14.25">
      <c r="A57" s="90" t="s">
        <v>283</v>
      </c>
      <c r="B57" s="76"/>
      <c r="C57" s="76">
        <f>58000-750-18500-1350-750-21400</f>
        <v>15250</v>
      </c>
      <c r="D57" s="76"/>
      <c r="E57" s="76"/>
      <c r="F57" s="76"/>
      <c r="G57" s="76">
        <v>5000</v>
      </c>
      <c r="H57" s="76"/>
      <c r="I57" s="76"/>
      <c r="J57" s="76"/>
      <c r="K57" s="76"/>
      <c r="L57" s="76" t="s">
        <v>252</v>
      </c>
      <c r="M57" s="76"/>
      <c r="N57" s="76"/>
      <c r="O57" s="76"/>
      <c r="P57" s="70"/>
      <c r="Q57" s="76"/>
      <c r="R57" s="70">
        <f>SUM(C57:Q57)</f>
        <v>20250</v>
      </c>
    </row>
    <row r="58" spans="1:18" ht="14.25">
      <c r="A58" s="94" t="s">
        <v>284</v>
      </c>
      <c r="B58" s="76"/>
      <c r="C58" s="76">
        <f>757000-2080-16428-411356-2400-11520-2536-248100+30000-36760</f>
        <v>55820</v>
      </c>
      <c r="D58" s="76">
        <v>20000</v>
      </c>
      <c r="E58" s="76">
        <f>30000-6080-13416+15000-5460</f>
        <v>20044</v>
      </c>
      <c r="F58" s="76">
        <f>240000-5250-4350+-110000-44000</f>
        <v>76400</v>
      </c>
      <c r="G58" s="76">
        <f>50000-21924-9244-3100-5460</f>
        <v>10272</v>
      </c>
      <c r="H58" s="76">
        <f>582600-28370.04-48507.72-27007.72-35320.84-35426.24-800-15015-30030-34570</f>
        <v>327552.44000000006</v>
      </c>
      <c r="I58" s="76"/>
      <c r="J58" s="76">
        <f>440000-3000-288000-35100</f>
        <v>113900</v>
      </c>
      <c r="K58" s="76">
        <f>40000-5376-5948-996</f>
        <v>27680</v>
      </c>
      <c r="L58" s="76"/>
      <c r="M58" s="76"/>
      <c r="N58" s="76">
        <f>80000-16350</f>
        <v>63650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784562.4400000001</v>
      </c>
    </row>
    <row r="59" spans="1:18" ht="14.25">
      <c r="A59" s="94" t="s">
        <v>285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125453.14999999998</v>
      </c>
      <c r="D60" s="93">
        <f>SUM(D58:D59)</f>
        <v>20000</v>
      </c>
      <c r="E60" s="93">
        <f>SUM(E56:E59)</f>
        <v>44344</v>
      </c>
      <c r="F60" s="93">
        <f>SUM(F58)</f>
        <v>76400</v>
      </c>
      <c r="G60" s="93">
        <f>SUM(G56:G59)</f>
        <v>41100</v>
      </c>
      <c r="H60" s="93">
        <f>SUM(H56:H59)</f>
        <v>327552.44000000006</v>
      </c>
      <c r="I60" s="93">
        <f>SUM(I56:I59)</f>
        <v>0</v>
      </c>
      <c r="J60" s="93">
        <f>SUM(J58)</f>
        <v>113900</v>
      </c>
      <c r="K60" s="93">
        <f>SUM(K56:K59)</f>
        <v>60480</v>
      </c>
      <c r="L60" s="93">
        <f>SUM(L56:L59)</f>
        <v>0</v>
      </c>
      <c r="M60" s="93"/>
      <c r="N60" s="93">
        <f>SUM(N58)</f>
        <v>63650</v>
      </c>
      <c r="O60" s="93">
        <f>SUM(O58)</f>
        <v>32411</v>
      </c>
      <c r="P60" s="93">
        <f>SUM(P56:P59)</f>
        <v>36833</v>
      </c>
      <c r="Q60" s="93"/>
      <c r="R60" s="73">
        <f>SUM(C60:P60)</f>
        <v>942123.5900000001</v>
      </c>
    </row>
    <row r="61" spans="1:18" ht="15" thickTop="1">
      <c r="A61" s="94" t="s">
        <v>286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287</v>
      </c>
      <c r="B62" s="82"/>
      <c r="C62" s="82"/>
      <c r="D62" s="82"/>
      <c r="E62" s="82">
        <f>100000-35728-21100-1900-30688+10000-1570-18950</f>
        <v>64</v>
      </c>
      <c r="F62" s="82"/>
      <c r="G62" s="82">
        <f>20000-19134-860</f>
        <v>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70</v>
      </c>
    </row>
    <row r="63" spans="1:18" ht="14.25">
      <c r="A63" s="90" t="s">
        <v>288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f>60000-60000</f>
        <v>0</v>
      </c>
      <c r="L63" s="76"/>
      <c r="M63" s="76"/>
      <c r="N63" s="76"/>
      <c r="O63" s="76"/>
      <c r="P63" s="70"/>
      <c r="Q63" s="76"/>
      <c r="R63" s="70">
        <f>SUM(C63:Q63)</f>
        <v>0</v>
      </c>
    </row>
    <row r="64" spans="1:18" ht="14.25">
      <c r="A64" s="94" t="s">
        <v>289</v>
      </c>
      <c r="B64" s="76"/>
      <c r="C64" s="76"/>
      <c r="D64" s="76"/>
      <c r="E64" s="76">
        <f>20000-300-400-400-440-14851+10000-270-225-11030-300-180</f>
        <v>1604</v>
      </c>
      <c r="F64" s="76"/>
      <c r="G64" s="76">
        <f>20000-17844-2045</f>
        <v>111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1715</v>
      </c>
    </row>
    <row r="65" spans="1:18" ht="14.25">
      <c r="A65" s="94" t="s">
        <v>290</v>
      </c>
      <c r="B65" s="76"/>
      <c r="C65" s="76"/>
      <c r="D65" s="76"/>
      <c r="E65" s="76"/>
      <c r="F65" s="76"/>
      <c r="G65" s="76">
        <v>0</v>
      </c>
      <c r="H65" s="76">
        <f>1084570-77242.62-147128.8-195963.04-84599.06-38289.02-76867.56-62773.2</f>
        <v>401706.69999999995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401706.69999999995</v>
      </c>
    </row>
    <row r="66" spans="1:18" ht="14.25">
      <c r="A66" s="94" t="s">
        <v>291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292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f>20000+21000-2580</f>
        <v>38420</v>
      </c>
      <c r="L67" s="76"/>
      <c r="M67" s="76"/>
      <c r="N67" s="76"/>
      <c r="O67" s="76"/>
      <c r="P67" s="70"/>
      <c r="Q67" s="76"/>
      <c r="R67" s="70">
        <f t="shared" si="1"/>
        <v>38420</v>
      </c>
    </row>
    <row r="68" spans="1:18" ht="14.25">
      <c r="A68" s="94" t="s">
        <v>293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294</v>
      </c>
      <c r="B69" s="76"/>
      <c r="C69" s="76">
        <f>200000-9305-8860-6450-7895-4965-6830-9090-5670-10000-5180-21000-5230</f>
        <v>99525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99525</v>
      </c>
    </row>
    <row r="70" spans="1:18" ht="14.25">
      <c r="A70" s="94" t="s">
        <v>325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295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296</v>
      </c>
      <c r="B73" s="76"/>
      <c r="C73" s="76">
        <f>70000-28000-36600</f>
        <v>5400</v>
      </c>
      <c r="D73" s="76"/>
      <c r="E73" s="76">
        <f>100000-21250-9700-13600-47800</f>
        <v>7650</v>
      </c>
      <c r="F73" s="76"/>
      <c r="G73" s="76">
        <f>25000-5100-5300</f>
        <v>14600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41800</v>
      </c>
    </row>
    <row r="74" spans="1:18" ht="14.25">
      <c r="A74" s="94" t="s">
        <v>297</v>
      </c>
      <c r="B74" s="76"/>
      <c r="C74" s="76"/>
      <c r="D74" s="76"/>
      <c r="E74" s="76"/>
      <c r="F74" s="76"/>
      <c r="G74" s="76"/>
      <c r="H74" s="76">
        <f>30000-29926</f>
        <v>74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74</v>
      </c>
    </row>
    <row r="75" spans="1:18" ht="14.25">
      <c r="A75" s="94" t="s">
        <v>298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114479</v>
      </c>
      <c r="D76" s="93">
        <v>0</v>
      </c>
      <c r="E76" s="93">
        <f>SUM(E62:E75)</f>
        <v>9318</v>
      </c>
      <c r="F76" s="93">
        <v>0</v>
      </c>
      <c r="G76" s="93">
        <f>SUM(G62:G75)</f>
        <v>14717</v>
      </c>
      <c r="H76" s="93">
        <f>SUM(H62:H75)</f>
        <v>401780.69999999995</v>
      </c>
      <c r="I76" s="93">
        <f>SUM(I62:I75)</f>
        <v>0</v>
      </c>
      <c r="J76" s="93">
        <v>0</v>
      </c>
      <c r="K76" s="93">
        <f>SUM(K63:K75)</f>
        <v>52570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592864.7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115</v>
      </c>
      <c r="B82" s="352" t="s">
        <v>92</v>
      </c>
      <c r="C82" s="353" t="s">
        <v>93</v>
      </c>
      <c r="D82" s="353"/>
      <c r="E82" s="353"/>
      <c r="F82" s="87" t="s">
        <v>94</v>
      </c>
      <c r="G82" s="353" t="s">
        <v>95</v>
      </c>
      <c r="H82" s="353"/>
      <c r="I82" s="353" t="s">
        <v>96</v>
      </c>
      <c r="J82" s="353"/>
      <c r="K82" s="353" t="s">
        <v>98</v>
      </c>
      <c r="L82" s="353"/>
      <c r="M82" s="348" t="s">
        <v>391</v>
      </c>
      <c r="N82" s="349"/>
      <c r="O82" s="353" t="s">
        <v>99</v>
      </c>
      <c r="P82" s="353"/>
      <c r="Q82" s="214"/>
      <c r="R82" s="350" t="s">
        <v>19</v>
      </c>
    </row>
    <row r="83" spans="1:18" s="64" customFormat="1" ht="13.5" customHeight="1">
      <c r="A83" s="66" t="s">
        <v>116</v>
      </c>
      <c r="B83" s="352"/>
      <c r="C83" s="87" t="s">
        <v>100</v>
      </c>
      <c r="D83" s="87" t="s">
        <v>111</v>
      </c>
      <c r="E83" s="87" t="s">
        <v>101</v>
      </c>
      <c r="F83" s="87" t="s">
        <v>102</v>
      </c>
      <c r="G83" s="87" t="s">
        <v>103</v>
      </c>
      <c r="H83" s="87" t="s">
        <v>104</v>
      </c>
      <c r="I83" s="87" t="s">
        <v>105</v>
      </c>
      <c r="J83" s="87" t="s">
        <v>106</v>
      </c>
      <c r="K83" s="87" t="s">
        <v>107</v>
      </c>
      <c r="L83" s="87" t="s">
        <v>108</v>
      </c>
      <c r="M83" s="87" t="s">
        <v>464</v>
      </c>
      <c r="N83" s="87" t="s">
        <v>390</v>
      </c>
      <c r="O83" s="87" t="s">
        <v>109</v>
      </c>
      <c r="P83" s="87" t="s">
        <v>110</v>
      </c>
      <c r="Q83" s="192" t="s">
        <v>114</v>
      </c>
      <c r="R83" s="351"/>
    </row>
    <row r="84" spans="1:18" ht="13.5" customHeight="1">
      <c r="A84" s="92" t="s">
        <v>299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300</v>
      </c>
      <c r="B85" s="67"/>
      <c r="C85" s="67">
        <f>150000-12023.06-11297.35-13827.15-8077.4-20573.57-27088.74+10000-18703.9-11861.15</f>
        <v>36547.67999999999</v>
      </c>
      <c r="D85" s="67"/>
      <c r="E85" s="67"/>
      <c r="F85" s="67"/>
      <c r="G85" s="67">
        <f>50000-1832-1291.78-1027.31-871.22-2465.91-2064.3-1640.75-1407.8</f>
        <v>37398.92999999999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73946.60999999999</v>
      </c>
    </row>
    <row r="86" spans="1:18" ht="13.5" customHeight="1">
      <c r="A86" s="90" t="s">
        <v>301</v>
      </c>
      <c r="B86" s="70"/>
      <c r="C86" s="70">
        <f>6000-234-438-432-438-330-444-756-498-438-342</f>
        <v>1650</v>
      </c>
      <c r="D86" s="70"/>
      <c r="E86" s="70"/>
      <c r="F86" s="70"/>
      <c r="G86" s="70">
        <f>5000-114-294-102-138-186-366-24-12-180-114</f>
        <v>3470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5120</v>
      </c>
    </row>
    <row r="87" spans="1:18" ht="13.5" customHeight="1">
      <c r="A87" s="90" t="s">
        <v>302</v>
      </c>
      <c r="B87" s="70"/>
      <c r="C87" s="70">
        <f>20000-1001.52-992.96-2043.7-1020.78-971.56-2097.2-1037.9-2009.46</f>
        <v>8824.919999999998</v>
      </c>
      <c r="D87" s="70"/>
      <c r="E87" s="70"/>
      <c r="F87" s="70"/>
      <c r="G87" s="70">
        <f>10000-428-428-856-428-428-856-428-875.26</f>
        <v>5272.74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14097.659999999998</v>
      </c>
    </row>
    <row r="88" spans="1:18" ht="13.5" customHeight="1">
      <c r="A88" s="89" t="s">
        <v>303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304</v>
      </c>
      <c r="B89" s="71"/>
      <c r="C89" s="71">
        <f>90000-5339.3-5339.3-10518.1-5243-5243-10486-12243-10000-10486</f>
        <v>15102.299999999988</v>
      </c>
      <c r="D89" s="71"/>
      <c r="E89" s="71"/>
      <c r="F89" s="71"/>
      <c r="G89" s="71">
        <f>25000-1701.3-1701.3-3402.6-1701.3-1701.3-3402.6-1701.3-3131.54</f>
        <v>6556.760000000005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21659.059999999994</v>
      </c>
    </row>
    <row r="90" spans="1:18" ht="13.5" customHeight="1" thickBot="1">
      <c r="A90" s="90" t="s">
        <v>36</v>
      </c>
      <c r="B90" s="61"/>
      <c r="C90" s="61">
        <f>SUM(C85:C89)</f>
        <v>62124.89999999998</v>
      </c>
      <c r="D90" s="61">
        <v>0</v>
      </c>
      <c r="E90" s="61">
        <v>0</v>
      </c>
      <c r="F90" s="61">
        <v>0</v>
      </c>
      <c r="G90" s="61">
        <f>SUM(G85:G89)</f>
        <v>52698.42999999999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114823.32999999997</v>
      </c>
    </row>
    <row r="91" spans="1:18" ht="13.5" customHeight="1" thickTop="1">
      <c r="A91" s="92" t="s">
        <v>305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306</v>
      </c>
      <c r="B92" s="76"/>
      <c r="C92" s="76">
        <f>105600-86000+44000-17050</f>
        <v>46550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46550</v>
      </c>
    </row>
    <row r="93" spans="1:18" ht="13.5" customHeight="1">
      <c r="A93" s="90" t="s">
        <v>473</v>
      </c>
      <c r="B93" s="76"/>
      <c r="C93" s="76">
        <f>787000-764000</f>
        <v>23000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23000</v>
      </c>
    </row>
    <row r="94" spans="1:18" ht="13.5" customHeight="1">
      <c r="A94" s="90" t="s">
        <v>307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308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 t="s">
        <v>252</v>
      </c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309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312</v>
      </c>
      <c r="B99" s="76"/>
      <c r="C99" s="76"/>
      <c r="D99" s="76"/>
      <c r="E99" s="76"/>
      <c r="F99" s="76"/>
      <c r="G99" s="76">
        <v>0</v>
      </c>
      <c r="H99" s="76">
        <f>36000-9800</f>
        <v>26200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26200</v>
      </c>
    </row>
    <row r="100" spans="1:18" ht="13.5" customHeight="1">
      <c r="A100" s="89" t="s">
        <v>313</v>
      </c>
      <c r="B100" s="77"/>
      <c r="C100" s="77">
        <f>100000-13417.27-1700-19750-12150-3860-13423.15-12810-1150</f>
        <v>21739.579999999994</v>
      </c>
      <c r="D100" s="77"/>
      <c r="E100" s="77">
        <f>30000-550-1200-900</f>
        <v>27350</v>
      </c>
      <c r="F100" s="77"/>
      <c r="G100" s="77">
        <f>80000-30000-1900-2400-4300-18860</f>
        <v>22540</v>
      </c>
      <c r="H100" s="151"/>
      <c r="I100" s="77"/>
      <c r="J100" s="77"/>
      <c r="K100" s="77">
        <f>20000-1500-2300-1920-1200-350</f>
        <v>12730</v>
      </c>
      <c r="L100" s="77"/>
      <c r="M100" s="77"/>
      <c r="N100" s="77"/>
      <c r="O100" s="77"/>
      <c r="P100" s="67"/>
      <c r="Q100" s="77"/>
      <c r="R100" s="199">
        <f t="shared" si="2"/>
        <v>84359.57999999999</v>
      </c>
    </row>
    <row r="101" spans="1:18" ht="13.5" customHeight="1" thickBot="1">
      <c r="A101" s="90" t="s">
        <v>36</v>
      </c>
      <c r="B101" s="93"/>
      <c r="C101" s="93">
        <f>SUM(C92:C100)</f>
        <v>91289.57999999999</v>
      </c>
      <c r="D101" s="93">
        <v>0</v>
      </c>
      <c r="E101" s="93">
        <f>SUM(E100)</f>
        <v>27350</v>
      </c>
      <c r="F101" s="93">
        <v>0</v>
      </c>
      <c r="G101" s="93">
        <f>SUM(G92:G100)</f>
        <v>22540</v>
      </c>
      <c r="H101" s="93">
        <f>SUM(H92:H100)</f>
        <v>26200</v>
      </c>
      <c r="I101" s="93">
        <f>SUM(I100)</f>
        <v>0</v>
      </c>
      <c r="J101" s="93"/>
      <c r="K101" s="93">
        <f>SUM(K92:K100)</f>
        <v>12730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180109.58</v>
      </c>
    </row>
    <row r="102" spans="1:18" ht="13.5" customHeight="1" thickTop="1">
      <c r="A102" s="94" t="s">
        <v>314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315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316</v>
      </c>
      <c r="B104" s="82"/>
      <c r="C104" s="82">
        <f>166000-19600</f>
        <v>146400</v>
      </c>
      <c r="D104" s="82"/>
      <c r="E104" s="70"/>
      <c r="F104" s="82"/>
      <c r="G104" s="82"/>
      <c r="H104" s="82">
        <f>172000-168500</f>
        <v>3500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149900</v>
      </c>
    </row>
    <row r="105" spans="1:18" ht="13.5" customHeight="1">
      <c r="A105" s="94" t="s">
        <v>317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f>2590000-143000-891600-112700-446560</f>
        <v>996140</v>
      </c>
      <c r="R105" s="83">
        <f>SUM(Q105)</f>
        <v>996140</v>
      </c>
    </row>
    <row r="106" spans="1:18" ht="13.5" customHeight="1">
      <c r="A106" s="90" t="s">
        <v>388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146400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3500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996140</v>
      </c>
      <c r="R107" s="200">
        <f>SUM(R103:R106)</f>
        <v>1146040</v>
      </c>
    </row>
    <row r="108" spans="1:18" ht="13.5" customHeight="1" thickTop="1">
      <c r="A108" s="94" t="s">
        <v>318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319</v>
      </c>
      <c r="B109" s="70"/>
      <c r="C109" s="76">
        <f>10000-10000</f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320</v>
      </c>
      <c r="B110" s="77"/>
      <c r="C110" s="76">
        <v>13000</v>
      </c>
      <c r="D110" s="76"/>
      <c r="E110" s="76"/>
      <c r="F110" s="76"/>
      <c r="G110" s="76">
        <f>1872000-384580-590940-304260-579600+160</f>
        <v>12780</v>
      </c>
      <c r="H110" s="76"/>
      <c r="I110" s="76"/>
      <c r="J110" s="76"/>
      <c r="K110" s="76">
        <f>300000-297193.52</f>
        <v>2806.4799999999814</v>
      </c>
      <c r="L110" s="76"/>
      <c r="M110" s="76"/>
      <c r="N110" s="76"/>
      <c r="O110" s="76"/>
      <c r="P110" s="76">
        <v>0</v>
      </c>
      <c r="Q110" s="70"/>
      <c r="R110" s="70">
        <f>SUM(C110:P110)</f>
        <v>28586.47999999998</v>
      </c>
    </row>
    <row r="111" spans="1:18" ht="13.5" customHeight="1">
      <c r="A111" s="94" t="s">
        <v>389</v>
      </c>
      <c r="B111" s="77"/>
      <c r="C111" s="76"/>
      <c r="D111" s="76"/>
      <c r="E111" s="76"/>
      <c r="F111" s="76"/>
      <c r="G111" s="76"/>
      <c r="H111" s="76"/>
      <c r="I111" s="76">
        <f>90000-90000</f>
        <v>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SUM(P111)</f>
        <v>20000</v>
      </c>
    </row>
    <row r="112" spans="1:18" ht="13.5" customHeight="1">
      <c r="A112" s="90" t="s">
        <v>321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13000</v>
      </c>
      <c r="D113" s="93">
        <v>0</v>
      </c>
      <c r="E113" s="93">
        <v>0</v>
      </c>
      <c r="F113" s="93">
        <v>0</v>
      </c>
      <c r="G113" s="93">
        <f>SUM(G110)</f>
        <v>12780</v>
      </c>
      <c r="H113" s="93">
        <f>SUM(H110)</f>
        <v>0</v>
      </c>
      <c r="I113" s="93">
        <f>SUM(I111:I112)</f>
        <v>0</v>
      </c>
      <c r="J113" s="93">
        <v>0</v>
      </c>
      <c r="K113" s="93">
        <f>SUM(K110)</f>
        <v>2806.4799999999814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48586.47999999998</v>
      </c>
    </row>
    <row r="114" spans="1:18" ht="13.5" customHeight="1" thickTop="1">
      <c r="A114" s="94" t="s">
        <v>322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323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326401</v>
      </c>
      <c r="C117" s="194">
        <f>SUM(C14+C22+C27+C31+C48+C54+C60+C76+C90+C101+C107+C113)</f>
        <v>1331177.6300000001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535707</v>
      </c>
      <c r="F117" s="194">
        <f t="shared" si="3"/>
        <v>76400</v>
      </c>
      <c r="G117" s="194">
        <f t="shared" si="3"/>
        <v>451355.43</v>
      </c>
      <c r="H117" s="194">
        <f t="shared" si="3"/>
        <v>759033.14</v>
      </c>
      <c r="I117" s="194">
        <f t="shared" si="3"/>
        <v>106100</v>
      </c>
      <c r="J117" s="194">
        <f t="shared" si="3"/>
        <v>113900</v>
      </c>
      <c r="K117" s="194">
        <f t="shared" si="3"/>
        <v>337036.48</v>
      </c>
      <c r="L117" s="194">
        <f t="shared" si="3"/>
        <v>0</v>
      </c>
      <c r="M117" s="194"/>
      <c r="N117" s="194">
        <f>SUM(N14+N22+N27+N31+N48+N54+N60+N76+N90+N101+N107+N113)</f>
        <v>63650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996140</v>
      </c>
      <c r="R117" s="193">
        <f>SUM(B117:Q117)</f>
        <v>5206144.68</v>
      </c>
    </row>
    <row r="118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2:R83"/>
    <mergeCell ref="B43:B44"/>
    <mergeCell ref="C43:E43"/>
    <mergeCell ref="G43:H43"/>
    <mergeCell ref="I43:J43"/>
    <mergeCell ref="K43:L43"/>
    <mergeCell ref="O43:P43"/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V114" sqref="V114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ht="16.5">
      <c r="A2" s="354" t="s">
        <v>400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6.5">
      <c r="A3" s="354" t="s">
        <v>401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ht="16.5">
      <c r="A4" s="355" t="s">
        <v>562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="123" customFormat="1" ht="14.25">
      <c r="Q5" s="191"/>
    </row>
    <row r="6" spans="1:18" s="64" customFormat="1" ht="14.25">
      <c r="A6" s="65" t="s">
        <v>115</v>
      </c>
      <c r="B6" s="352" t="s">
        <v>92</v>
      </c>
      <c r="C6" s="353" t="s">
        <v>93</v>
      </c>
      <c r="D6" s="353"/>
      <c r="E6" s="353"/>
      <c r="F6" s="87" t="s">
        <v>94</v>
      </c>
      <c r="G6" s="353" t="s">
        <v>95</v>
      </c>
      <c r="H6" s="353"/>
      <c r="I6" s="353" t="s">
        <v>96</v>
      </c>
      <c r="J6" s="353"/>
      <c r="K6" s="87" t="s">
        <v>97</v>
      </c>
      <c r="L6" s="353" t="s">
        <v>98</v>
      </c>
      <c r="M6" s="353"/>
      <c r="N6" s="353" t="s">
        <v>99</v>
      </c>
      <c r="O6" s="353"/>
      <c r="P6" s="348" t="s">
        <v>113</v>
      </c>
      <c r="Q6" s="349"/>
      <c r="R6" s="350" t="s">
        <v>19</v>
      </c>
    </row>
    <row r="7" spans="1:18" s="64" customFormat="1" ht="14.25">
      <c r="A7" s="66" t="s">
        <v>116</v>
      </c>
      <c r="B7" s="352"/>
      <c r="C7" s="87" t="s">
        <v>100</v>
      </c>
      <c r="D7" s="87" t="s">
        <v>111</v>
      </c>
      <c r="E7" s="87" t="s">
        <v>101</v>
      </c>
      <c r="F7" s="87" t="s">
        <v>102</v>
      </c>
      <c r="G7" s="87" t="s">
        <v>103</v>
      </c>
      <c r="H7" s="87" t="s">
        <v>104</v>
      </c>
      <c r="I7" s="87" t="s">
        <v>105</v>
      </c>
      <c r="J7" s="87" t="s">
        <v>106</v>
      </c>
      <c r="K7" s="87" t="s">
        <v>112</v>
      </c>
      <c r="L7" s="87" t="s">
        <v>107</v>
      </c>
      <c r="M7" s="87" t="s">
        <v>108</v>
      </c>
      <c r="N7" s="87" t="s">
        <v>109</v>
      </c>
      <c r="O7" s="87" t="s">
        <v>110</v>
      </c>
      <c r="P7" s="87" t="s">
        <v>324</v>
      </c>
      <c r="Q7" s="192" t="s">
        <v>114</v>
      </c>
      <c r="R7" s="351"/>
    </row>
    <row r="8" spans="1:18" ht="14.25">
      <c r="A8" s="88" t="s">
        <v>254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255</v>
      </c>
      <c r="B9" s="67">
        <v>0</v>
      </c>
      <c r="C9" s="67"/>
      <c r="D9" s="67"/>
      <c r="E9" s="67" t="s">
        <v>252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256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257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259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500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f>150000</f>
        <v>150000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150000</v>
      </c>
    </row>
    <row r="17" spans="1:18" ht="15" thickTop="1">
      <c r="A17" s="92" t="s">
        <v>260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261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262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263</v>
      </c>
      <c r="B20" s="76"/>
      <c r="C20" s="76">
        <v>0</v>
      </c>
      <c r="D20" s="76"/>
      <c r="E20" s="76"/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264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265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266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267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268</v>
      </c>
      <c r="B27" s="76"/>
      <c r="C27" s="76">
        <v>0</v>
      </c>
      <c r="D27" s="76"/>
      <c r="E27" s="76">
        <v>0</v>
      </c>
      <c r="F27" s="76"/>
      <c r="G27" s="76">
        <v>100000</v>
      </c>
      <c r="H27" s="76"/>
      <c r="I27" s="76">
        <v>0</v>
      </c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100000</v>
      </c>
    </row>
    <row r="28" spans="1:18" ht="14.25">
      <c r="A28" s="90" t="s">
        <v>269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>
        <v>0</v>
      </c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270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252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SUM(G27)</f>
        <v>100000</v>
      </c>
      <c r="H30" s="61">
        <v>0</v>
      </c>
      <c r="I30" s="61">
        <f>SUM(I27)</f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100000</v>
      </c>
    </row>
    <row r="31" spans="1:18" ht="15" thickBot="1">
      <c r="A31" s="91" t="s">
        <v>37</v>
      </c>
      <c r="B31" s="93"/>
      <c r="C31" s="80">
        <f>36000</f>
        <v>36000</v>
      </c>
      <c r="D31" s="93">
        <v>0</v>
      </c>
      <c r="E31" s="93">
        <f>15000</f>
        <v>15000</v>
      </c>
      <c r="F31" s="93">
        <v>0</v>
      </c>
      <c r="G31" s="93">
        <f>3000+100000</f>
        <v>103000</v>
      </c>
      <c r="H31" s="93">
        <v>0</v>
      </c>
      <c r="I31" s="93">
        <f>-150000</f>
        <v>-150000</v>
      </c>
      <c r="J31" s="93">
        <v>0</v>
      </c>
      <c r="K31" s="93">
        <v>0</v>
      </c>
      <c r="L31" s="93">
        <f>0</f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73">
        <f>SUM(B31:P31)</f>
        <v>4000</v>
      </c>
    </row>
    <row r="32" spans="1:18" ht="15" thickTop="1">
      <c r="A32" s="89" t="s">
        <v>267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271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272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f>SUM(C33:C34)</f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f>-18000</f>
        <v>-18000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-18000</v>
      </c>
    </row>
    <row r="37" ht="15" thickTop="1">
      <c r="C37" s="183"/>
    </row>
    <row r="41" spans="1:18" s="64" customFormat="1" ht="14.25">
      <c r="A41" s="65" t="s">
        <v>115</v>
      </c>
      <c r="B41" s="352" t="s">
        <v>92</v>
      </c>
      <c r="C41" s="353" t="s">
        <v>93</v>
      </c>
      <c r="D41" s="353"/>
      <c r="E41" s="353"/>
      <c r="F41" s="87" t="s">
        <v>94</v>
      </c>
      <c r="G41" s="353" t="s">
        <v>95</v>
      </c>
      <c r="H41" s="353"/>
      <c r="I41" s="353" t="s">
        <v>96</v>
      </c>
      <c r="J41" s="353"/>
      <c r="K41" s="87" t="s">
        <v>97</v>
      </c>
      <c r="L41" s="353" t="s">
        <v>98</v>
      </c>
      <c r="M41" s="353"/>
      <c r="N41" s="353" t="s">
        <v>99</v>
      </c>
      <c r="O41" s="353"/>
      <c r="P41" s="348" t="s">
        <v>113</v>
      </c>
      <c r="Q41" s="349"/>
      <c r="R41" s="350" t="s">
        <v>19</v>
      </c>
    </row>
    <row r="42" spans="1:18" s="64" customFormat="1" ht="14.25">
      <c r="A42" s="66" t="s">
        <v>116</v>
      </c>
      <c r="B42" s="352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324</v>
      </c>
      <c r="Q42" s="192" t="s">
        <v>114</v>
      </c>
      <c r="R42" s="351"/>
    </row>
    <row r="43" spans="1:18" ht="14.25">
      <c r="A43" s="92" t="s">
        <v>267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273</v>
      </c>
      <c r="B44" s="70"/>
      <c r="C44" s="70">
        <v>0</v>
      </c>
      <c r="D44" s="70"/>
      <c r="E44" s="70">
        <v>0</v>
      </c>
      <c r="F44" s="70"/>
      <c r="G44" s="70">
        <v>-100000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-100000</v>
      </c>
    </row>
    <row r="45" spans="1:18" ht="14.25">
      <c r="A45" s="94" t="s">
        <v>274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-100000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-100000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f>-103000</f>
        <v>-103000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-103000</v>
      </c>
    </row>
    <row r="48" spans="1:18" ht="15" thickTop="1">
      <c r="A48" s="92" t="s">
        <v>275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276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277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252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278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279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SUM(L49:L53)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282</v>
      </c>
      <c r="B57" s="215" t="s">
        <v>394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283</v>
      </c>
      <c r="B58" s="76"/>
      <c r="C58" s="76">
        <v>0</v>
      </c>
      <c r="D58" s="76"/>
      <c r="E58" s="76" t="s">
        <v>399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284</v>
      </c>
      <c r="B59" s="76"/>
      <c r="C59" s="76">
        <v>0</v>
      </c>
      <c r="D59" s="76">
        <v>0</v>
      </c>
      <c r="E59" s="76">
        <v>0</v>
      </c>
      <c r="F59" s="76">
        <v>-44000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-44000</v>
      </c>
    </row>
    <row r="60" spans="1:18" ht="14.25">
      <c r="A60" s="94" t="s">
        <v>285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SUM(E57:E60)</f>
        <v>0</v>
      </c>
      <c r="F61" s="61">
        <f>SUM(F59)</f>
        <v>-44000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-44000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f>-44000</f>
        <v>-44000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-4000</v>
      </c>
    </row>
    <row r="63" spans="1:18" ht="15" thickTop="1">
      <c r="A63" s="94" t="s">
        <v>286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287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289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290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21000</v>
      </c>
      <c r="M69" s="76"/>
      <c r="N69" s="76"/>
      <c r="O69" s="70"/>
      <c r="P69" s="76"/>
      <c r="Q69" s="76"/>
      <c r="R69" s="70">
        <f>SUM(L69:Q69)</f>
        <v>21000</v>
      </c>
    </row>
    <row r="70" spans="1:18" ht="14.25">
      <c r="A70" s="94" t="s">
        <v>293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294</v>
      </c>
      <c r="B71" s="76"/>
      <c r="C71" s="76">
        <v>-21000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-21000</v>
      </c>
    </row>
    <row r="72" spans="1:18" ht="14.25">
      <c r="A72" s="94" t="s">
        <v>295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296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297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-21000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21000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f>-10000-21000</f>
        <v>-31000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f>21000</f>
        <v>21000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2" t="s">
        <v>92</v>
      </c>
      <c r="C81" s="353" t="s">
        <v>93</v>
      </c>
      <c r="D81" s="353"/>
      <c r="E81" s="353"/>
      <c r="F81" s="87" t="s">
        <v>94</v>
      </c>
      <c r="G81" s="353" t="s">
        <v>95</v>
      </c>
      <c r="H81" s="353"/>
      <c r="I81" s="353" t="s">
        <v>96</v>
      </c>
      <c r="J81" s="353"/>
      <c r="K81" s="87" t="s">
        <v>97</v>
      </c>
      <c r="L81" s="353" t="s">
        <v>98</v>
      </c>
      <c r="M81" s="353"/>
      <c r="N81" s="353" t="s">
        <v>99</v>
      </c>
      <c r="O81" s="353"/>
      <c r="P81" s="348" t="s">
        <v>113</v>
      </c>
      <c r="Q81" s="349"/>
      <c r="R81" s="350" t="s">
        <v>19</v>
      </c>
    </row>
    <row r="82" spans="1:18" s="64" customFormat="1" ht="13.5" customHeight="1">
      <c r="A82" s="66" t="s">
        <v>116</v>
      </c>
      <c r="B82" s="352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324</v>
      </c>
      <c r="Q82" s="192" t="s">
        <v>114</v>
      </c>
      <c r="R82" s="351"/>
    </row>
    <row r="83" spans="1:18" ht="13.5" customHeight="1">
      <c r="A83" s="92" t="s">
        <v>299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300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301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302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303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304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305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306</v>
      </c>
      <c r="B92" s="76"/>
      <c r="C92" s="76">
        <v>44000</v>
      </c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>
        <f>SUM(C92)</f>
        <v>44000</v>
      </c>
    </row>
    <row r="93" spans="1:18" ht="13.5" customHeight="1">
      <c r="A93" s="90" t="s">
        <v>307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309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313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v>44000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44000</v>
      </c>
    </row>
    <row r="101" spans="1:18" ht="13.5" customHeight="1" thickBot="1">
      <c r="A101" s="91" t="s">
        <v>37</v>
      </c>
      <c r="B101" s="93"/>
      <c r="C101" s="93">
        <f>44000</f>
        <v>44000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44000</v>
      </c>
    </row>
    <row r="102" spans="1:18" ht="13.5" customHeight="1" thickTop="1">
      <c r="A102" s="94" t="s">
        <v>314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316</v>
      </c>
      <c r="B104" s="82"/>
      <c r="C104" s="82"/>
      <c r="D104" s="82"/>
      <c r="E104" s="82"/>
      <c r="F104" s="82"/>
      <c r="G104" s="82"/>
      <c r="H104" s="82"/>
      <c r="I104" s="70" t="s">
        <v>548</v>
      </c>
      <c r="J104" s="70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 t="s">
        <v>252</v>
      </c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318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319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320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322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323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23000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-44000</v>
      </c>
      <c r="G118" s="150">
        <f>SUM(G30+G46+G54+G61+G76+G89+G100+G106+G112)</f>
        <v>0</v>
      </c>
      <c r="H118" s="150">
        <f>SUM(H46+H61+H112)</f>
        <v>0</v>
      </c>
      <c r="I118" s="150">
        <f>SUM(I30)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21000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f>150000</f>
        <v>150000</v>
      </c>
      <c r="C119" s="93">
        <f>65000+23000</f>
        <v>88000</v>
      </c>
      <c r="D119" s="93">
        <v>0</v>
      </c>
      <c r="E119" s="93">
        <v>45000</v>
      </c>
      <c r="F119" s="93">
        <v>-154000</v>
      </c>
      <c r="G119" s="93">
        <v>0</v>
      </c>
      <c r="H119" s="93">
        <v>0</v>
      </c>
      <c r="I119" s="93">
        <f>-150000</f>
        <v>-150000</v>
      </c>
      <c r="J119" s="93">
        <v>0</v>
      </c>
      <c r="K119" s="93">
        <v>0</v>
      </c>
      <c r="L119" s="93">
        <v>21000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A4:R4"/>
    <mergeCell ref="G6:H6"/>
    <mergeCell ref="P41:Q41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">
      <selection activeCell="K126" sqref="K126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ht="16.5">
      <c r="A2" s="354" t="s">
        <v>402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6.5">
      <c r="A3" s="355" t="s">
        <v>549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pans="8:17" s="123" customFormat="1" ht="16.5">
      <c r="H4" s="356"/>
      <c r="I4" s="356"/>
      <c r="J4" s="356"/>
      <c r="Q4" s="191"/>
    </row>
    <row r="5" spans="1:18" s="64" customFormat="1" ht="14.25">
      <c r="A5" s="65" t="s">
        <v>115</v>
      </c>
      <c r="B5" s="352" t="s">
        <v>92</v>
      </c>
      <c r="C5" s="353" t="s">
        <v>93</v>
      </c>
      <c r="D5" s="353"/>
      <c r="E5" s="353"/>
      <c r="F5" s="87" t="s">
        <v>94</v>
      </c>
      <c r="G5" s="353" t="s">
        <v>95</v>
      </c>
      <c r="H5" s="353"/>
      <c r="I5" s="353" t="s">
        <v>96</v>
      </c>
      <c r="J5" s="353"/>
      <c r="K5" s="87" t="s">
        <v>97</v>
      </c>
      <c r="L5" s="353" t="s">
        <v>98</v>
      </c>
      <c r="M5" s="353"/>
      <c r="N5" s="353" t="s">
        <v>99</v>
      </c>
      <c r="O5" s="353"/>
      <c r="P5" s="348" t="s">
        <v>113</v>
      </c>
      <c r="Q5" s="349"/>
      <c r="R5" s="350" t="s">
        <v>19</v>
      </c>
    </row>
    <row r="6" spans="1:18" s="64" customFormat="1" ht="14.25">
      <c r="A6" s="66" t="s">
        <v>116</v>
      </c>
      <c r="B6" s="352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112</v>
      </c>
      <c r="L6" s="87" t="s">
        <v>107</v>
      </c>
      <c r="M6" s="87" t="s">
        <v>108</v>
      </c>
      <c r="N6" s="87" t="s">
        <v>109</v>
      </c>
      <c r="O6" s="87" t="s">
        <v>110</v>
      </c>
      <c r="P6" s="87" t="s">
        <v>324</v>
      </c>
      <c r="Q6" s="192" t="s">
        <v>114</v>
      </c>
      <c r="R6" s="351"/>
    </row>
    <row r="7" spans="1:18" ht="14.25">
      <c r="A7" s="88" t="s">
        <v>254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255</v>
      </c>
      <c r="B8" s="67">
        <v>0</v>
      </c>
      <c r="C8" s="67"/>
      <c r="D8" s="67"/>
      <c r="E8" s="67" t="s">
        <v>252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256</v>
      </c>
      <c r="B9" s="70">
        <v>0</v>
      </c>
      <c r="C9" s="70"/>
      <c r="D9" s="70"/>
      <c r="E9" s="70"/>
      <c r="F9" s="70"/>
      <c r="G9" s="70"/>
      <c r="H9" s="70" t="s">
        <v>479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257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 t="s">
        <v>252</v>
      </c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258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259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260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261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262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263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264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265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266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268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269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270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267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271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272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2" t="s">
        <v>92</v>
      </c>
      <c r="C41" s="353" t="s">
        <v>93</v>
      </c>
      <c r="D41" s="353"/>
      <c r="E41" s="353"/>
      <c r="F41" s="87" t="s">
        <v>94</v>
      </c>
      <c r="G41" s="353" t="s">
        <v>95</v>
      </c>
      <c r="H41" s="353"/>
      <c r="I41" s="353" t="s">
        <v>96</v>
      </c>
      <c r="J41" s="353"/>
      <c r="K41" s="87" t="s">
        <v>97</v>
      </c>
      <c r="L41" s="353" t="s">
        <v>98</v>
      </c>
      <c r="M41" s="353"/>
      <c r="N41" s="353" t="s">
        <v>99</v>
      </c>
      <c r="O41" s="353"/>
      <c r="P41" s="348" t="s">
        <v>113</v>
      </c>
      <c r="Q41" s="349"/>
      <c r="R41" s="350" t="s">
        <v>19</v>
      </c>
    </row>
    <row r="42" spans="1:18" s="64" customFormat="1" ht="14.25">
      <c r="A42" s="66" t="s">
        <v>116</v>
      </c>
      <c r="B42" s="352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324</v>
      </c>
      <c r="Q42" s="192" t="s">
        <v>114</v>
      </c>
      <c r="R42" s="351"/>
    </row>
    <row r="43" spans="1:18" ht="14.25">
      <c r="A43" s="92" t="s">
        <v>267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273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274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276</v>
      </c>
      <c r="B49" s="76"/>
      <c r="C49" s="76">
        <v>0</v>
      </c>
      <c r="D49" s="76"/>
      <c r="E49" s="76"/>
      <c r="F49" s="76"/>
      <c r="G49" s="76"/>
      <c r="H49" s="76"/>
      <c r="I49" s="76" t="s">
        <v>252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277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278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279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442</v>
      </c>
      <c r="M56" s="82"/>
      <c r="N56" s="83"/>
      <c r="O56" s="84"/>
      <c r="P56" s="83"/>
      <c r="Q56" s="83"/>
      <c r="R56" s="84"/>
    </row>
    <row r="57" spans="1:18" ht="14.25">
      <c r="A57" s="94" t="s">
        <v>282</v>
      </c>
      <c r="B57" s="215" t="s">
        <v>394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283</v>
      </c>
      <c r="B58" s="76"/>
      <c r="C58" s="76">
        <v>0</v>
      </c>
      <c r="D58" s="76"/>
      <c r="E58" s="76" t="s">
        <v>399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284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285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287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289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290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294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296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2" t="s">
        <v>92</v>
      </c>
      <c r="C81" s="353" t="s">
        <v>93</v>
      </c>
      <c r="D81" s="353"/>
      <c r="E81" s="353"/>
      <c r="F81" s="87" t="s">
        <v>94</v>
      </c>
      <c r="G81" s="353" t="s">
        <v>95</v>
      </c>
      <c r="H81" s="353"/>
      <c r="I81" s="353" t="s">
        <v>96</v>
      </c>
      <c r="J81" s="353"/>
      <c r="K81" s="87" t="s">
        <v>97</v>
      </c>
      <c r="L81" s="353" t="s">
        <v>98</v>
      </c>
      <c r="M81" s="353"/>
      <c r="N81" s="353" t="s">
        <v>99</v>
      </c>
      <c r="O81" s="353"/>
      <c r="P81" s="348" t="s">
        <v>113</v>
      </c>
      <c r="Q81" s="349"/>
      <c r="R81" s="350" t="s">
        <v>19</v>
      </c>
    </row>
    <row r="82" spans="1:18" s="64" customFormat="1" ht="13.5" customHeight="1">
      <c r="A82" s="66" t="s">
        <v>116</v>
      </c>
      <c r="B82" s="352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324</v>
      </c>
      <c r="Q82" s="192" t="s">
        <v>114</v>
      </c>
      <c r="R82" s="351"/>
    </row>
    <row r="83" spans="1:18" ht="13.5" customHeight="1">
      <c r="A83" s="92" t="s">
        <v>299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300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301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302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303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304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305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306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307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309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313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316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964000+448800+815000+764200+407100+488000+451700+497700</f>
        <v>4836500</v>
      </c>
      <c r="R107" s="73">
        <f>SUM(Q107)</f>
        <v>4836500</v>
      </c>
    </row>
    <row r="108" spans="1:18" ht="13.5" customHeight="1" thickTop="1">
      <c r="A108" s="94" t="s">
        <v>318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319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320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322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323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0</v>
      </c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964000+448800+815000+764200+407100+488000+451700+497700</f>
        <v>4836500</v>
      </c>
      <c r="R119" s="73">
        <f>SUM(B119:Q119)</f>
        <v>4836500</v>
      </c>
    </row>
    <row r="120" ht="15" thickTop="1"/>
  </sheetData>
  <sheetProtection/>
  <mergeCells count="28"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SheetLayoutView="100" zoomScalePageLayoutView="0" workbookViewId="0" topLeftCell="A1">
      <selection activeCell="K104" sqref="K104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ht="16.5">
      <c r="A2" s="354" t="s">
        <v>404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6.5">
      <c r="A3" s="355" t="s">
        <v>549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="123" customFormat="1" ht="14.25">
      <c r="Q4" s="191"/>
    </row>
    <row r="5" spans="1:18" s="64" customFormat="1" ht="14.25">
      <c r="A5" s="65" t="s">
        <v>115</v>
      </c>
      <c r="B5" s="352" t="s">
        <v>92</v>
      </c>
      <c r="C5" s="353" t="s">
        <v>93</v>
      </c>
      <c r="D5" s="353"/>
      <c r="E5" s="353"/>
      <c r="F5" s="87" t="s">
        <v>94</v>
      </c>
      <c r="G5" s="353" t="s">
        <v>95</v>
      </c>
      <c r="H5" s="353"/>
      <c r="I5" s="353" t="s">
        <v>96</v>
      </c>
      <c r="J5" s="353"/>
      <c r="K5" s="353" t="s">
        <v>98</v>
      </c>
      <c r="L5" s="353"/>
      <c r="M5" s="348" t="s">
        <v>391</v>
      </c>
      <c r="N5" s="349"/>
      <c r="O5" s="353" t="s">
        <v>99</v>
      </c>
      <c r="P5" s="353"/>
      <c r="Q5" s="281" t="s">
        <v>113</v>
      </c>
      <c r="R5" s="350" t="s">
        <v>19</v>
      </c>
    </row>
    <row r="6" spans="1:18" s="64" customFormat="1" ht="14.25">
      <c r="A6" s="66" t="s">
        <v>116</v>
      </c>
      <c r="B6" s="352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464</v>
      </c>
      <c r="N6" s="87" t="s">
        <v>390</v>
      </c>
      <c r="O6" s="87" t="s">
        <v>109</v>
      </c>
      <c r="P6" s="87" t="s">
        <v>110</v>
      </c>
      <c r="Q6" s="192" t="s">
        <v>114</v>
      </c>
      <c r="R6" s="351"/>
    </row>
    <row r="7" spans="1:18" ht="14.25">
      <c r="A7" s="88" t="s">
        <v>254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255</v>
      </c>
      <c r="B8" s="67">
        <v>5607</v>
      </c>
      <c r="C8" s="67"/>
      <c r="D8" s="67"/>
      <c r="E8" s="67" t="s">
        <v>252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5607</v>
      </c>
    </row>
    <row r="9" spans="1:18" ht="14.25">
      <c r="A9" s="90" t="s">
        <v>256</v>
      </c>
      <c r="B9" s="70">
        <v>2000</v>
      </c>
      <c r="C9" s="70"/>
      <c r="D9" s="70"/>
      <c r="E9" s="70"/>
      <c r="F9" s="70"/>
      <c r="G9" s="70"/>
      <c r="H9" s="70" t="s">
        <v>252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257</v>
      </c>
      <c r="B10" s="70">
        <v>30300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30300</v>
      </c>
    </row>
    <row r="11" spans="1:18" ht="14.25">
      <c r="A11" s="90" t="s">
        <v>258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259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37907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37907</v>
      </c>
    </row>
    <row r="14" spans="1:18" ht="15" thickBot="1">
      <c r="A14" s="91" t="s">
        <v>37</v>
      </c>
      <c r="B14" s="73">
        <f>54652+155486+7752+127752+7752+7752+22005+86817+7002+7502+37907</f>
        <v>522379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522379</v>
      </c>
    </row>
    <row r="15" spans="1:18" ht="15" thickTop="1">
      <c r="A15" s="92" t="s">
        <v>260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443</v>
      </c>
    </row>
    <row r="16" spans="1:18" ht="14.25">
      <c r="A16" s="90" t="s">
        <v>261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262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263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264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265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266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235860+235860+235860+235860+235860+235860+235860+235860+235860+235860+235860</f>
        <v>2594460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2594460</v>
      </c>
    </row>
    <row r="24" spans="1:18" ht="15" thickTop="1">
      <c r="A24" s="89" t="s">
        <v>267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268</v>
      </c>
      <c r="B25" s="76"/>
      <c r="C25" s="76">
        <v>179050</v>
      </c>
      <c r="D25" s="76"/>
      <c r="E25" s="76">
        <v>92460</v>
      </c>
      <c r="F25" s="76"/>
      <c r="G25" s="76">
        <v>23080</v>
      </c>
      <c r="H25" s="76"/>
      <c r="I25" s="76"/>
      <c r="J25" s="76"/>
      <c r="K25" s="76">
        <v>59850</v>
      </c>
      <c r="L25" s="76"/>
      <c r="M25" s="76"/>
      <c r="N25" s="76"/>
      <c r="O25" s="76"/>
      <c r="P25" s="70"/>
      <c r="Q25" s="76"/>
      <c r="R25" s="70">
        <f>SUM(C25:Q25)</f>
        <v>354440</v>
      </c>
    </row>
    <row r="26" spans="1:18" ht="14.25">
      <c r="A26" s="90" t="s">
        <v>269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1325</v>
      </c>
      <c r="L26" s="76"/>
      <c r="M26" s="76"/>
      <c r="N26" s="76"/>
      <c r="O26" s="76"/>
      <c r="P26" s="70"/>
      <c r="Q26" s="76"/>
      <c r="R26" s="70">
        <f>SUM(C26:P26)</f>
        <v>1325</v>
      </c>
    </row>
    <row r="27" spans="1:18" ht="14.25">
      <c r="A27" s="89" t="s">
        <v>270</v>
      </c>
      <c r="B27" s="77"/>
      <c r="C27" s="77">
        <v>17500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28000</v>
      </c>
    </row>
    <row r="28" spans="1:18" ht="14.25">
      <c r="A28" s="90" t="s">
        <v>36</v>
      </c>
      <c r="B28" s="61"/>
      <c r="C28" s="79">
        <f>SUM(C25:C27)</f>
        <v>196550</v>
      </c>
      <c r="D28" s="61">
        <v>0</v>
      </c>
      <c r="E28" s="61">
        <f>SUM(E25:E27)</f>
        <v>95960</v>
      </c>
      <c r="F28" s="61">
        <v>0</v>
      </c>
      <c r="G28" s="61">
        <f>SUM(G25:G27)</f>
        <v>26580</v>
      </c>
      <c r="H28" s="61">
        <v>0</v>
      </c>
      <c r="I28" s="61">
        <v>0</v>
      </c>
      <c r="J28" s="61">
        <v>0</v>
      </c>
      <c r="K28" s="61">
        <f>SUM(K25:K27)</f>
        <v>64675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383765</v>
      </c>
    </row>
    <row r="29" spans="1:18" ht="15" thickBot="1">
      <c r="A29" s="91" t="s">
        <v>37</v>
      </c>
      <c r="B29" s="93"/>
      <c r="C29" s="80">
        <f>185100+183970+183970+255893+189310+189310+193480+207480+196280+196976+196550</f>
        <v>2178319</v>
      </c>
      <c r="D29" s="93">
        <v>0</v>
      </c>
      <c r="E29" s="93">
        <f>90510+90510+90510+140729+93840+93840+95940+95940+95940+95993+95960</f>
        <v>1079712</v>
      </c>
      <c r="F29" s="93">
        <v>0</v>
      </c>
      <c r="G29" s="93">
        <f>25120+25120+25120+36960+25990+25990+26580+26580+26580+26580+26580</f>
        <v>297200</v>
      </c>
      <c r="H29" s="93">
        <v>0</v>
      </c>
      <c r="I29" s="93">
        <v>0</v>
      </c>
      <c r="J29" s="93">
        <v>0</v>
      </c>
      <c r="K29" s="93">
        <f>60390+60390+60390+77601+71719+65005+64675+64675+64675+64675+64675</f>
        <v>718870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4274101</v>
      </c>
    </row>
    <row r="30" spans="1:18" ht="15" thickTop="1">
      <c r="A30" s="89" t="s">
        <v>267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271</v>
      </c>
      <c r="B31" s="76"/>
      <c r="C31" s="76">
        <v>13760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13760</v>
      </c>
    </row>
    <row r="32" spans="1:18" ht="14.25">
      <c r="A32" s="89" t="s">
        <v>272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13760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13760</v>
      </c>
    </row>
    <row r="34" spans="1:18" ht="15" thickBot="1">
      <c r="A34" s="91" t="s">
        <v>37</v>
      </c>
      <c r="B34" s="93"/>
      <c r="C34" s="73">
        <f>13285+13285+13285+13385+13310+13310+13760+13760+13760+13760+13760</f>
        <v>148660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148660</v>
      </c>
    </row>
    <row r="35" ht="15" thickTop="1">
      <c r="C35" s="183"/>
    </row>
    <row r="41" spans="1:18" s="64" customFormat="1" ht="14.25">
      <c r="A41" s="65" t="s">
        <v>115</v>
      </c>
      <c r="B41" s="352" t="s">
        <v>92</v>
      </c>
      <c r="C41" s="353" t="s">
        <v>93</v>
      </c>
      <c r="D41" s="353"/>
      <c r="E41" s="353"/>
      <c r="F41" s="87" t="s">
        <v>94</v>
      </c>
      <c r="G41" s="353" t="s">
        <v>95</v>
      </c>
      <c r="H41" s="353"/>
      <c r="I41" s="353" t="s">
        <v>96</v>
      </c>
      <c r="J41" s="353"/>
      <c r="K41" s="353" t="s">
        <v>98</v>
      </c>
      <c r="L41" s="353"/>
      <c r="M41" s="348" t="s">
        <v>391</v>
      </c>
      <c r="N41" s="349"/>
      <c r="O41" s="353" t="s">
        <v>99</v>
      </c>
      <c r="P41" s="353"/>
      <c r="Q41" s="280" t="s">
        <v>113</v>
      </c>
      <c r="R41" s="350" t="s">
        <v>19</v>
      </c>
    </row>
    <row r="42" spans="1:18" s="64" customFormat="1" ht="14.25">
      <c r="A42" s="66" t="s">
        <v>116</v>
      </c>
      <c r="B42" s="352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464</v>
      </c>
      <c r="N42" s="87" t="s">
        <v>390</v>
      </c>
      <c r="O42" s="87" t="s">
        <v>109</v>
      </c>
      <c r="P42" s="87" t="s">
        <v>110</v>
      </c>
      <c r="Q42" s="192" t="s">
        <v>114</v>
      </c>
      <c r="R42" s="351"/>
    </row>
    <row r="43" spans="1:18" ht="14.25">
      <c r="A43" s="92" t="s">
        <v>267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273</v>
      </c>
      <c r="B44" s="70"/>
      <c r="C44" s="70">
        <f>28975+785</f>
        <v>29760</v>
      </c>
      <c r="D44" s="70"/>
      <c r="E44" s="70">
        <v>19408</v>
      </c>
      <c r="F44" s="70"/>
      <c r="G44" s="70">
        <v>22354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99602</v>
      </c>
    </row>
    <row r="45" spans="1:18" ht="14.25">
      <c r="A45" s="94" t="s">
        <v>274</v>
      </c>
      <c r="B45" s="67"/>
      <c r="C45" s="67">
        <v>4925</v>
      </c>
      <c r="D45" s="67"/>
      <c r="E45" s="67">
        <v>1135</v>
      </c>
      <c r="F45" s="67"/>
      <c r="G45" s="67">
        <v>2483</v>
      </c>
      <c r="H45" s="67"/>
      <c r="I45" s="67">
        <v>1000</v>
      </c>
      <c r="J45" s="67"/>
      <c r="K45" s="67">
        <v>3000</v>
      </c>
      <c r="L45" s="67"/>
      <c r="M45" s="67"/>
      <c r="N45" s="67" t="s">
        <v>252</v>
      </c>
      <c r="O45" s="67"/>
      <c r="P45" s="67"/>
      <c r="Q45" s="67"/>
      <c r="R45" s="67">
        <f>SUM(C45:P45)</f>
        <v>12543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20543</v>
      </c>
      <c r="F46" s="61">
        <v>0</v>
      </c>
      <c r="G46" s="61">
        <f>SUM(G44:G45)</f>
        <v>24837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112145</v>
      </c>
    </row>
    <row r="47" spans="1:18" ht="15" thickBot="1">
      <c r="A47" s="91" t="s">
        <v>37</v>
      </c>
      <c r="B47" s="93"/>
      <c r="C47" s="73">
        <f>34685+34685+34685+34685+34685+34685+34685+34685+34685+34685+34685</f>
        <v>381535</v>
      </c>
      <c r="D47" s="61">
        <v>0</v>
      </c>
      <c r="E47" s="61">
        <f>23285+23285+23285+23285+23285+23285+23285+23285+23285+23285+20543</f>
        <v>253393</v>
      </c>
      <c r="F47" s="61">
        <v>0</v>
      </c>
      <c r="G47" s="61">
        <f>27620+27620+27620+27620+27620+27620+21153+10000+10000+42570+24837</f>
        <v>274280</v>
      </c>
      <c r="H47" s="61">
        <v>0</v>
      </c>
      <c r="I47" s="61">
        <f>10000+10000+10000+10000+10000+10000+10000+10000+10000+10000+10000</f>
        <v>110000</v>
      </c>
      <c r="J47" s="61">
        <v>0</v>
      </c>
      <c r="K47" s="61">
        <f>22080+22080+22080+22080+22080+22080+22080+22080+22080+22080+22080</f>
        <v>242880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1262088</v>
      </c>
    </row>
    <row r="48" spans="1:18" ht="15" thickTop="1">
      <c r="A48" s="92" t="s">
        <v>275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276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3500</v>
      </c>
      <c r="L49" s="76">
        <v>0</v>
      </c>
      <c r="M49" s="76"/>
      <c r="N49" s="76"/>
      <c r="O49" s="76"/>
      <c r="P49" s="70"/>
      <c r="Q49" s="76"/>
      <c r="R49" s="70">
        <f>SUM(C49:P49)</f>
        <v>3500</v>
      </c>
    </row>
    <row r="50" spans="1:18" ht="14.25">
      <c r="A50" s="89" t="s">
        <v>277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278</v>
      </c>
      <c r="B51" s="76"/>
      <c r="C51" s="76">
        <f>10000</f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f>7500</f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279</v>
      </c>
      <c r="B52" s="76"/>
      <c r="C52" s="76">
        <v>8650</v>
      </c>
      <c r="D52" s="76"/>
      <c r="E52" s="76">
        <v>0</v>
      </c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8650</v>
      </c>
    </row>
    <row r="53" spans="1:18" ht="14.25">
      <c r="A53" s="124" t="s">
        <v>280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18650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11000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35650</v>
      </c>
    </row>
    <row r="55" spans="1:18" ht="15" thickBot="1">
      <c r="A55" s="91" t="s">
        <v>37</v>
      </c>
      <c r="B55" s="93"/>
      <c r="C55" s="80">
        <f>10000+12671+10000+18650+10000+16763+10000+10000+16961+10000+18650</f>
        <v>143695</v>
      </c>
      <c r="D55" s="93">
        <v>0</v>
      </c>
      <c r="E55" s="93">
        <f>12660+10560+3000+3000+6780+3000+3000+4000+3000+3000+3000</f>
        <v>55000</v>
      </c>
      <c r="F55" s="93">
        <v>0</v>
      </c>
      <c r="G55" s="93">
        <f>3000+3000+3000+3000+3000+3000+3000+3000+3000+3000+3000</f>
        <v>33000</v>
      </c>
      <c r="H55" s="93">
        <v>0</v>
      </c>
      <c r="I55" s="93">
        <v>0</v>
      </c>
      <c r="J55" s="93">
        <v>0</v>
      </c>
      <c r="K55" s="93">
        <f>7500+10300+7500+7500+7500+12400+7500+7500+7500+23600+11000</f>
        <v>109800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341495</v>
      </c>
    </row>
    <row r="56" spans="1:18" ht="15" thickTop="1">
      <c r="A56" s="94" t="s">
        <v>281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282</v>
      </c>
      <c r="B57" s="215" t="s">
        <v>394</v>
      </c>
      <c r="C57" s="82">
        <f>8300+7000+2373.8+5307+13500</f>
        <v>36480.8</v>
      </c>
      <c r="D57" s="82"/>
      <c r="E57" s="82">
        <v>0</v>
      </c>
      <c r="F57" s="82"/>
      <c r="G57" s="82">
        <v>0</v>
      </c>
      <c r="H57" s="82"/>
      <c r="I57" s="82"/>
      <c r="J57" s="82"/>
      <c r="K57" s="82">
        <v>0</v>
      </c>
      <c r="L57" s="82"/>
      <c r="M57" s="82"/>
      <c r="N57" s="82"/>
      <c r="O57" s="82"/>
      <c r="P57" s="83">
        <v>0</v>
      </c>
      <c r="Q57" s="82"/>
      <c r="R57" s="83">
        <f>SUM(C57:P57)</f>
        <v>36480.8</v>
      </c>
    </row>
    <row r="58" spans="1:18" ht="14.25">
      <c r="A58" s="90" t="s">
        <v>283</v>
      </c>
      <c r="B58" s="76"/>
      <c r="C58" s="76">
        <f>750+10000+1400+8500+750</f>
        <v>21400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21400</v>
      </c>
    </row>
    <row r="59" spans="1:18" ht="14.25">
      <c r="A59" s="94" t="s">
        <v>284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f>25935+4000+6000-1365</f>
        <v>34570</v>
      </c>
      <c r="I59" s="76"/>
      <c r="J59" s="76">
        <v>0</v>
      </c>
      <c r="K59" s="76">
        <v>0</v>
      </c>
      <c r="L59" s="76"/>
      <c r="M59" s="76"/>
      <c r="N59" s="76">
        <f>300+6450+6000+3600</f>
        <v>16350</v>
      </c>
      <c r="O59" s="76">
        <v>0</v>
      </c>
      <c r="P59" s="70">
        <v>0</v>
      </c>
      <c r="Q59" s="76"/>
      <c r="R59" s="70">
        <f>SUM(C59:Q59)</f>
        <v>50920</v>
      </c>
    </row>
    <row r="60" spans="1:18" ht="14.25">
      <c r="A60" s="94" t="s">
        <v>285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57880.8</v>
      </c>
      <c r="D61" s="61">
        <f>SUM(D59:D60)</f>
        <v>0</v>
      </c>
      <c r="E61" s="61">
        <f>SUM(E57:E59)</f>
        <v>0</v>
      </c>
      <c r="F61" s="61">
        <f>SUM(F59)</f>
        <v>0</v>
      </c>
      <c r="G61" s="61">
        <f>SUM(G59:G60)</f>
        <v>0</v>
      </c>
      <c r="H61" s="61">
        <f>SUM(H59:H60)</f>
        <v>34570</v>
      </c>
      <c r="I61" s="61">
        <v>0</v>
      </c>
      <c r="J61" s="61">
        <f>SUM(J59)</f>
        <v>0</v>
      </c>
      <c r="K61" s="61">
        <f>SUM(K57:K60)</f>
        <v>0</v>
      </c>
      <c r="L61" s="61">
        <v>0</v>
      </c>
      <c r="M61" s="61">
        <v>0</v>
      </c>
      <c r="N61" s="61">
        <f>SUM(N59)</f>
        <v>16350</v>
      </c>
      <c r="O61" s="61">
        <f>SUM(O59)</f>
        <v>0</v>
      </c>
      <c r="P61" s="61">
        <f>SUM(P57:P60)</f>
        <v>0</v>
      </c>
      <c r="Q61" s="61"/>
      <c r="R61" s="72">
        <f>SUM(R57:R60)</f>
        <v>108800.8</v>
      </c>
    </row>
    <row r="62" spans="1:18" ht="15" thickBot="1">
      <c r="A62" s="91" t="s">
        <v>37</v>
      </c>
      <c r="B62" s="93"/>
      <c r="C62" s="80">
        <f>12952+30429.7+42008+132942.35+444985.2+61357.95+29534.35+25751+267285.5+79420+57880.8</f>
        <v>1184546.8499999999</v>
      </c>
      <c r="D62" s="93">
        <v>0</v>
      </c>
      <c r="E62" s="93">
        <f>20680+27016+8600+14360</f>
        <v>70656</v>
      </c>
      <c r="F62" s="93">
        <f>5250+4350</f>
        <v>9600</v>
      </c>
      <c r="G62" s="93">
        <f>21924+9572+9244+9600+3100+5460</f>
        <v>58900</v>
      </c>
      <c r="H62" s="93">
        <f>28370.04+48507.72+27007.72+35320.84+35426.24+800+15015+30030+34570</f>
        <v>255047.56</v>
      </c>
      <c r="I62" s="93">
        <v>0</v>
      </c>
      <c r="J62" s="93">
        <f>3000+288000+35100</f>
        <v>326100</v>
      </c>
      <c r="K62" s="93">
        <f>19376+12748-2000+1800+15400+12196</f>
        <v>59520</v>
      </c>
      <c r="L62" s="93">
        <v>0</v>
      </c>
      <c r="M62" s="93">
        <v>0</v>
      </c>
      <c r="N62" s="93">
        <f>16350</f>
        <v>16350</v>
      </c>
      <c r="O62" s="93">
        <f>60169+57420</f>
        <v>117589</v>
      </c>
      <c r="P62" s="93">
        <f>5952+167215</f>
        <v>173167</v>
      </c>
      <c r="Q62" s="93"/>
      <c r="R62" s="73">
        <f>SUM(C62:Q62)</f>
        <v>2271476.41</v>
      </c>
    </row>
    <row r="63" spans="1:18" ht="15" thickTop="1">
      <c r="A63" s="94" t="s">
        <v>286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287</v>
      </c>
      <c r="B64" s="82"/>
      <c r="C64" s="82">
        <v>0</v>
      </c>
      <c r="D64" s="82"/>
      <c r="E64" s="82">
        <f>4600+14350</f>
        <v>18950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18950</v>
      </c>
    </row>
    <row r="65" spans="1:18" ht="14.25">
      <c r="A65" s="90" t="s">
        <v>288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>
        <v>60000</v>
      </c>
      <c r="L65" s="76"/>
      <c r="M65" s="76"/>
      <c r="N65" s="76"/>
      <c r="O65" s="76"/>
      <c r="P65" s="70"/>
      <c r="Q65" s="76"/>
      <c r="R65" s="70">
        <f>SUM(K65:Q65)</f>
        <v>60000</v>
      </c>
    </row>
    <row r="66" spans="1:18" ht="14.25">
      <c r="A66" s="94" t="s">
        <v>289</v>
      </c>
      <c r="B66" s="76"/>
      <c r="C66" s="76"/>
      <c r="D66" s="76"/>
      <c r="E66" s="76">
        <v>180</v>
      </c>
      <c r="F66" s="76"/>
      <c r="G66" s="76">
        <v>0</v>
      </c>
      <c r="H66" s="76">
        <v>0</v>
      </c>
      <c r="I66" s="76"/>
      <c r="J66" s="76" t="s">
        <v>252</v>
      </c>
      <c r="K66" s="76"/>
      <c r="L66" s="76"/>
      <c r="M66" s="76"/>
      <c r="N66" s="76"/>
      <c r="O66" s="76"/>
      <c r="P66" s="70"/>
      <c r="Q66" s="76"/>
      <c r="R66" s="70">
        <f>SUM(C66:P66)</f>
        <v>180</v>
      </c>
    </row>
    <row r="67" spans="1:18" ht="14.25">
      <c r="A67" s="94" t="s">
        <v>290</v>
      </c>
      <c r="B67" s="76"/>
      <c r="C67" s="76"/>
      <c r="D67" s="76"/>
      <c r="E67" s="76"/>
      <c r="F67" s="76"/>
      <c r="G67" s="76"/>
      <c r="H67" s="76">
        <f>62773.2</f>
        <v>62773.2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SUM(G67:Q67)</f>
        <v>62773.2</v>
      </c>
    </row>
    <row r="68" spans="1:18" ht="14.25">
      <c r="A68" s="94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292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2580</v>
      </c>
      <c r="L69" s="76"/>
      <c r="M69" s="76"/>
      <c r="N69" s="76"/>
      <c r="O69" s="76"/>
      <c r="P69" s="70"/>
      <c r="Q69" s="76"/>
      <c r="R69" s="70">
        <f>SUM(K69:Q69)</f>
        <v>2580</v>
      </c>
    </row>
    <row r="70" spans="1:18" ht="14.25">
      <c r="A70" s="94" t="s">
        <v>293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294</v>
      </c>
      <c r="B71" s="76"/>
      <c r="C71" s="76">
        <v>5230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5230</v>
      </c>
    </row>
    <row r="72" spans="1:18" ht="14.25">
      <c r="A72" s="94" t="s">
        <v>295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296</v>
      </c>
      <c r="B73" s="76"/>
      <c r="C73" s="76">
        <v>0</v>
      </c>
      <c r="D73" s="76"/>
      <c r="E73" s="76">
        <v>0</v>
      </c>
      <c r="F73" s="76"/>
      <c r="G73" s="76">
        <v>5300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5300</v>
      </c>
    </row>
    <row r="74" spans="1:18" ht="14.25">
      <c r="A74" s="94" t="s">
        <v>297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SUM(H74)</f>
        <v>0</v>
      </c>
    </row>
    <row r="75" spans="1:18" ht="14.25">
      <c r="A75" s="94" t="s">
        <v>298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5230</v>
      </c>
      <c r="D76" s="61">
        <f>SUM(D66:D75)</f>
        <v>0</v>
      </c>
      <c r="E76" s="61">
        <f>SUM(E64:E75)</f>
        <v>19130</v>
      </c>
      <c r="F76" s="61">
        <v>0</v>
      </c>
      <c r="G76" s="61">
        <f>SUM(G64:G75)</f>
        <v>5300</v>
      </c>
      <c r="H76" s="61">
        <f>SUM(H64:H75)</f>
        <v>62773.2</v>
      </c>
      <c r="I76" s="61">
        <v>0</v>
      </c>
      <c r="J76" s="61">
        <v>0</v>
      </c>
      <c r="K76" s="61">
        <f>SUM(K65:K75)</f>
        <v>62580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155013.2</v>
      </c>
    </row>
    <row r="77" spans="1:18" ht="15" thickBot="1">
      <c r="A77" s="91" t="s">
        <v>37</v>
      </c>
      <c r="B77" s="93"/>
      <c r="C77" s="80">
        <f>17546+9305+8860+55950+7895+4965+6830+9090+42270+5180+5230</f>
        <v>173121</v>
      </c>
      <c r="D77" s="93">
        <v>0</v>
      </c>
      <c r="E77" s="93">
        <f>300+36128+400+21690+35951+11870+225+89518+1870+19130</f>
        <v>217082</v>
      </c>
      <c r="F77" s="93">
        <v>0</v>
      </c>
      <c r="G77" s="93">
        <f>36978+8005+5300</f>
        <v>50283</v>
      </c>
      <c r="H77" s="93">
        <f>77242.62+147128.8+195963.04+84599.06+38289.02+106793.56+62773.2</f>
        <v>712789.2999999998</v>
      </c>
      <c r="I77" s="93">
        <v>0</v>
      </c>
      <c r="J77" s="93">
        <v>0</v>
      </c>
      <c r="K77" s="93">
        <f>7850+8000+62580</f>
        <v>78430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1231705.2999999998</v>
      </c>
    </row>
    <row r="78" ht="15" thickTop="1"/>
    <row r="81" spans="1:18" s="64" customFormat="1" ht="13.5" customHeight="1">
      <c r="A81" s="65" t="s">
        <v>115</v>
      </c>
      <c r="B81" s="352" t="s">
        <v>92</v>
      </c>
      <c r="C81" s="353" t="s">
        <v>93</v>
      </c>
      <c r="D81" s="353"/>
      <c r="E81" s="353"/>
      <c r="F81" s="87" t="s">
        <v>94</v>
      </c>
      <c r="G81" s="353" t="s">
        <v>95</v>
      </c>
      <c r="H81" s="353"/>
      <c r="I81" s="353" t="s">
        <v>96</v>
      </c>
      <c r="J81" s="353"/>
      <c r="K81" s="353" t="s">
        <v>98</v>
      </c>
      <c r="L81" s="353"/>
      <c r="M81" s="348" t="s">
        <v>391</v>
      </c>
      <c r="N81" s="349"/>
      <c r="O81" s="353" t="s">
        <v>99</v>
      </c>
      <c r="P81" s="353"/>
      <c r="Q81" s="280" t="s">
        <v>113</v>
      </c>
      <c r="R81" s="350" t="s">
        <v>19</v>
      </c>
    </row>
    <row r="82" spans="1:18" s="64" customFormat="1" ht="13.5" customHeight="1">
      <c r="A82" s="66" t="s">
        <v>116</v>
      </c>
      <c r="B82" s="352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464</v>
      </c>
      <c r="N82" s="87" t="s">
        <v>390</v>
      </c>
      <c r="O82" s="87" t="s">
        <v>109</v>
      </c>
      <c r="P82" s="87" t="s">
        <v>110</v>
      </c>
      <c r="Q82" s="192" t="s">
        <v>114</v>
      </c>
      <c r="R82" s="351"/>
    </row>
    <row r="83" spans="1:18" ht="13.5" customHeight="1">
      <c r="A83" s="92" t="s">
        <v>299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300</v>
      </c>
      <c r="B84" s="67"/>
      <c r="C84" s="67">
        <v>11861.15</v>
      </c>
      <c r="D84" s="67"/>
      <c r="E84" s="67"/>
      <c r="F84" s="67"/>
      <c r="G84" s="67">
        <v>1407.8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13268.949999999999</v>
      </c>
    </row>
    <row r="85" spans="1:18" ht="13.5" customHeight="1">
      <c r="A85" s="90" t="s">
        <v>301</v>
      </c>
      <c r="B85" s="70"/>
      <c r="C85" s="70">
        <v>342</v>
      </c>
      <c r="D85" s="70"/>
      <c r="E85" s="70"/>
      <c r="F85" s="70"/>
      <c r="G85" s="70">
        <v>114</v>
      </c>
      <c r="H85" s="70" t="s">
        <v>252</v>
      </c>
      <c r="I85" s="70" t="s">
        <v>252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456</v>
      </c>
    </row>
    <row r="86" spans="1:18" ht="13.5" customHeight="1">
      <c r="A86" s="90" t="s">
        <v>302</v>
      </c>
      <c r="B86" s="70"/>
      <c r="C86" s="70">
        <f>1007.94+1001.52</f>
        <v>2009.46</v>
      </c>
      <c r="D86" s="70"/>
      <c r="E86" s="70"/>
      <c r="F86" s="70"/>
      <c r="G86" s="292">
        <f>432.28+442.98</f>
        <v>875.26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2884.7200000000003</v>
      </c>
    </row>
    <row r="87" spans="1:18" ht="13.5" customHeight="1">
      <c r="A87" s="89" t="s">
        <v>303</v>
      </c>
      <c r="B87" s="70"/>
      <c r="C87" s="70"/>
      <c r="D87" s="70"/>
      <c r="E87" s="70"/>
      <c r="F87" s="70"/>
      <c r="G87" s="70"/>
      <c r="H87" s="70"/>
      <c r="I87" s="70"/>
      <c r="J87" s="70"/>
      <c r="K87" s="70">
        <v>0</v>
      </c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304</v>
      </c>
      <c r="B88" s="71"/>
      <c r="C88" s="71">
        <f>5243+5243</f>
        <v>10486</v>
      </c>
      <c r="D88" s="71"/>
      <c r="E88" s="71"/>
      <c r="F88" s="71"/>
      <c r="G88" s="71">
        <f>1644.24+1487.3</f>
        <v>3131.54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13617.54</v>
      </c>
    </row>
    <row r="89" spans="1:18" ht="13.5" customHeight="1">
      <c r="A89" s="90" t="s">
        <v>36</v>
      </c>
      <c r="B89" s="61"/>
      <c r="C89" s="61">
        <f>SUM(C84:C88)</f>
        <v>24698.61</v>
      </c>
      <c r="D89" s="61">
        <v>0</v>
      </c>
      <c r="E89" s="61">
        <v>0</v>
      </c>
      <c r="F89" s="61">
        <v>0</v>
      </c>
      <c r="G89" s="61">
        <f>SUM(G84:G88)</f>
        <v>5528.6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30227.21</v>
      </c>
    </row>
    <row r="90" spans="1:18" ht="13.5" customHeight="1" thickBot="1">
      <c r="A90" s="91" t="s">
        <v>37</v>
      </c>
      <c r="B90" s="61"/>
      <c r="C90" s="61">
        <f>18363.88+17863.61+34265.15+12993.8+14779.18+20903.57+6658.56+40427.94+13778.9+19141.9+24698.61</f>
        <v>223875.10000000003</v>
      </c>
      <c r="D90" s="61">
        <v>0</v>
      </c>
      <c r="E90" s="61">
        <v>0</v>
      </c>
      <c r="F90" s="61">
        <v>0</v>
      </c>
      <c r="G90" s="61">
        <f>3961.3+3535.08+1321.31+4360.6+3138.52+2651.91+2495.3+6346.9+2141.3+1820.75+5528.6</f>
        <v>37301.57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261176.67000000004</v>
      </c>
    </row>
    <row r="91" spans="1:18" ht="13.5" customHeight="1" thickTop="1">
      <c r="A91" s="92" t="s">
        <v>305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306</v>
      </c>
      <c r="B92" s="76"/>
      <c r="C92" s="76">
        <v>17050</v>
      </c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SUM(C92)</f>
        <v>17050</v>
      </c>
    </row>
    <row r="93" spans="1:18" ht="13.5" customHeight="1">
      <c r="A93" s="90" t="s">
        <v>473</v>
      </c>
      <c r="B93" s="76"/>
      <c r="C93" s="76">
        <v>764000</v>
      </c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SUM(C93)</f>
        <v>764000</v>
      </c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309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312</v>
      </c>
      <c r="B98" s="76"/>
      <c r="C98" s="76"/>
      <c r="D98" s="76"/>
      <c r="E98" s="76"/>
      <c r="F98" s="76"/>
      <c r="G98" s="76"/>
      <c r="H98" s="76">
        <v>0</v>
      </c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SUM(H98)</f>
        <v>0</v>
      </c>
    </row>
    <row r="99" spans="1:18" ht="13.5" customHeight="1">
      <c r="A99" s="94" t="s">
        <v>313</v>
      </c>
      <c r="B99" s="77"/>
      <c r="C99" s="77">
        <v>1150</v>
      </c>
      <c r="D99" s="77"/>
      <c r="E99" s="77">
        <v>0</v>
      </c>
      <c r="F99" s="77"/>
      <c r="G99" s="77">
        <v>0</v>
      </c>
      <c r="H99" s="151"/>
      <c r="I99" s="77"/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1150</v>
      </c>
    </row>
    <row r="100" spans="1:18" ht="13.5" customHeight="1">
      <c r="A100" s="90" t="s">
        <v>36</v>
      </c>
      <c r="B100" s="61"/>
      <c r="C100" s="61">
        <f>SUM(C92:C99)</f>
        <v>782200</v>
      </c>
      <c r="D100" s="61">
        <v>0</v>
      </c>
      <c r="E100" s="61">
        <f>SUM(E99)</f>
        <v>0</v>
      </c>
      <c r="F100" s="61">
        <v>0</v>
      </c>
      <c r="G100" s="72">
        <f>SUM(G99)</f>
        <v>0</v>
      </c>
      <c r="H100" s="61">
        <f>SUM(H98)</f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SUM(R92:R99)</f>
        <v>782200</v>
      </c>
    </row>
    <row r="101" spans="1:18" ht="13.5" customHeight="1" thickBot="1">
      <c r="A101" s="91" t="s">
        <v>37</v>
      </c>
      <c r="B101" s="93"/>
      <c r="C101" s="93">
        <f>13417.27+1700+19750+12150+3860+99423.15+12810+782200</f>
        <v>945310.4199999999</v>
      </c>
      <c r="D101" s="93">
        <v>0</v>
      </c>
      <c r="E101" s="93">
        <f>550+1200+900</f>
        <v>2650</v>
      </c>
      <c r="F101" s="93">
        <v>0</v>
      </c>
      <c r="G101" s="93">
        <f>30000+1900+2400+4300+18860</f>
        <v>57460</v>
      </c>
      <c r="H101" s="93">
        <f>9800</f>
        <v>9800</v>
      </c>
      <c r="I101" s="93">
        <v>0</v>
      </c>
      <c r="J101" s="93">
        <v>0</v>
      </c>
      <c r="K101" s="93">
        <f>1500+2300+1920+1200+350</f>
        <v>7270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1022490.4199999999</v>
      </c>
    </row>
    <row r="102" spans="1:18" ht="13.5" customHeight="1" thickTop="1">
      <c r="A102" s="94" t="s">
        <v>314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316</v>
      </c>
      <c r="B104" s="82"/>
      <c r="C104" s="82">
        <v>0</v>
      </c>
      <c r="D104" s="82"/>
      <c r="E104" s="82"/>
      <c r="F104" s="82"/>
      <c r="G104" s="82"/>
      <c r="H104" s="82">
        <v>168500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SUM(C104:Q104)</f>
        <v>168500</v>
      </c>
    </row>
    <row r="105" spans="1:18" ht="13.5" customHeight="1">
      <c r="A105" s="90" t="s">
        <v>317</v>
      </c>
      <c r="B105" s="76"/>
      <c r="C105" s="76" t="s">
        <v>534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f>138160+117300+191100</f>
        <v>446560</v>
      </c>
      <c r="R105" s="70">
        <f>SUM(Q105)</f>
        <v>446560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f>SUM(H104)</f>
        <v>168500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SUM(Q105)</f>
        <v>446560</v>
      </c>
      <c r="R106" s="61">
        <f>SUM(R104:R105)</f>
        <v>615060</v>
      </c>
    </row>
    <row r="107" spans="1:18" ht="13.5" customHeight="1" thickBot="1">
      <c r="A107" s="91" t="s">
        <v>37</v>
      </c>
      <c r="B107" s="93"/>
      <c r="C107" s="93">
        <f>19600</f>
        <v>19600</v>
      </c>
      <c r="D107" s="93">
        <v>0</v>
      </c>
      <c r="E107" s="93">
        <v>0</v>
      </c>
      <c r="F107" s="93">
        <v>0</v>
      </c>
      <c r="G107" s="93">
        <v>0</v>
      </c>
      <c r="H107" s="93">
        <f>168500</f>
        <v>168500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143000+891600+112700</f>
        <v>1147300</v>
      </c>
      <c r="R107" s="73">
        <f>SUM(C107:Q107)</f>
        <v>1335400</v>
      </c>
    </row>
    <row r="108" spans="1:18" ht="13.5" customHeight="1" thickTop="1">
      <c r="A108" s="94" t="s">
        <v>318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319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320</v>
      </c>
      <c r="B110" s="71"/>
      <c r="C110" s="76">
        <v>0</v>
      </c>
      <c r="D110" s="76"/>
      <c r="E110" s="76"/>
      <c r="F110" s="76"/>
      <c r="G110" s="76">
        <v>0</v>
      </c>
      <c r="H110" s="76">
        <v>0</v>
      </c>
      <c r="I110" s="76"/>
      <c r="J110" s="76"/>
      <c r="K110" s="76">
        <v>297193.52</v>
      </c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297193.52</v>
      </c>
    </row>
    <row r="111" spans="1:18" ht="13.5" customHeight="1">
      <c r="A111" s="90" t="s">
        <v>389</v>
      </c>
      <c r="B111" s="289"/>
      <c r="C111" s="288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>
        <f>SUM(I111)</f>
        <v>0</v>
      </c>
    </row>
    <row r="112" spans="1:18" ht="13.5" customHeight="1">
      <c r="A112" s="90" t="s">
        <v>321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0</v>
      </c>
      <c r="H113" s="61">
        <f>SUM(H110)</f>
        <v>0</v>
      </c>
      <c r="I113" s="61">
        <f>SUM(I111)</f>
        <v>0</v>
      </c>
      <c r="J113" s="61">
        <v>0</v>
      </c>
      <c r="K113" s="61">
        <f>SUM(K110)</f>
        <v>297193.52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297193.52</v>
      </c>
    </row>
    <row r="114" spans="1:18" ht="13.5" customHeight="1" thickBot="1">
      <c r="A114" s="91" t="s">
        <v>37</v>
      </c>
      <c r="B114" s="93"/>
      <c r="C114" s="93">
        <f>10000</f>
        <v>10000</v>
      </c>
      <c r="D114" s="93">
        <v>0</v>
      </c>
      <c r="E114" s="93">
        <v>0</v>
      </c>
      <c r="F114" s="93">
        <v>0</v>
      </c>
      <c r="G114" s="93">
        <f>384580+590940+304260-160+579600</f>
        <v>1859220</v>
      </c>
      <c r="H114" s="93">
        <v>0</v>
      </c>
      <c r="I114" s="93">
        <f>90000</f>
        <v>90000</v>
      </c>
      <c r="J114" s="93">
        <v>0</v>
      </c>
      <c r="K114" s="93">
        <f>297193.52</f>
        <v>297193.52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73">
        <f>SUM(C114:Q114)</f>
        <v>2256413.52</v>
      </c>
    </row>
    <row r="115" spans="1:18" ht="13.5" customHeight="1" thickTop="1">
      <c r="A115" s="94" t="s">
        <v>322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323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37907</v>
      </c>
      <c r="C119" s="61">
        <f>SUM(C22+C28+C33+C46+C54+C61+C76+C89+C100+C106++C113)</f>
        <v>1369514.4100000001</v>
      </c>
      <c r="D119" s="150">
        <f>SUM(D118)</f>
        <v>0</v>
      </c>
      <c r="E119" s="150">
        <f>SUM(E22+E28+E33+E46+E54+E61+E76+E89+E100+E106+E113)</f>
        <v>138633</v>
      </c>
      <c r="F119" s="150">
        <f>SUM(F61)</f>
        <v>0</v>
      </c>
      <c r="G119" s="150">
        <f>SUM(G28+G46+G54+G61+G76+G89+G100+G106+G113)</f>
        <v>65245.6</v>
      </c>
      <c r="H119" s="150">
        <f>SUM(H46+H61+H113+H76+H106)</f>
        <v>265843.2</v>
      </c>
      <c r="I119" s="150">
        <f>SUM(I46+I54+I61+I76+I89+I100+I106+I113)</f>
        <v>10000</v>
      </c>
      <c r="J119" s="150">
        <f>SUM(J46+J54+J61+J76+J89+J100+J106+J113)</f>
        <v>0</v>
      </c>
      <c r="K119" s="150">
        <f>SUM(K28+K33+K46+K54+K61+K76+K89+K100+K106+K113)</f>
        <v>457528.52</v>
      </c>
      <c r="L119" s="150">
        <f>SUM(L113)</f>
        <v>0</v>
      </c>
      <c r="M119" s="150">
        <f>SUM(M61)</f>
        <v>0</v>
      </c>
      <c r="N119" s="150">
        <f>SUM(N61)</f>
        <v>16350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446560</v>
      </c>
      <c r="R119" s="72">
        <f>SUM(B119:Q119)</f>
        <v>2807581.7300000004</v>
      </c>
    </row>
    <row r="120" spans="1:18" ht="13.5" customHeight="1" thickBot="1">
      <c r="A120" s="91" t="s">
        <v>37</v>
      </c>
      <c r="B120" s="73">
        <f>54652+155486+7752+127752+7752+7752+22005+86817+7002+7502+37907</f>
        <v>522379</v>
      </c>
      <c r="C120" s="93">
        <f>527791.88+551486.58+564633.15+780109.15+962974.38+581014.52+640231.06+577053.94+833690.4+614622.9+1369514.41</f>
        <v>8003122.370000001</v>
      </c>
      <c r="D120" s="93">
        <v>0</v>
      </c>
      <c r="E120" s="93">
        <f>127005+145335+152923+194430+146795+165576+134095+123450+211743+138508+138633</f>
        <v>1678493</v>
      </c>
      <c r="F120" s="93">
        <f>5250+4350</f>
        <v>9600</v>
      </c>
      <c r="G120" s="93">
        <f>59701.3+495779.08+58961.31+662880.6+62148.52+110111.91+62472.3+359786.9+71686.3+659030.75+65245.6</f>
        <v>2667804.57</v>
      </c>
      <c r="H120" s="93">
        <f>105612.66+48507.72+174136.52+231283.88+120025.3+800+53304.02+136823.56+265843.2</f>
        <v>1136336.86</v>
      </c>
      <c r="I120" s="93">
        <f>10000+10000+10000+10000+10000+10000+10000+10000+10000+100000+10000</f>
        <v>200000</v>
      </c>
      <c r="J120" s="93">
        <f>3000+288000+35100</f>
        <v>326100</v>
      </c>
      <c r="K120" s="93">
        <f>99320+95070+111266+119929+108499+101285+94255+109655+106801+110355+457528.52</f>
        <v>1513963.52</v>
      </c>
      <c r="L120" s="93">
        <v>0</v>
      </c>
      <c r="M120" s="93">
        <v>0</v>
      </c>
      <c r="N120" s="93">
        <f>16350</f>
        <v>16350</v>
      </c>
      <c r="O120" s="93">
        <f>60169+57420</f>
        <v>117589</v>
      </c>
      <c r="P120" s="93">
        <f>5952+167215</f>
        <v>173167</v>
      </c>
      <c r="Q120" s="93">
        <f>143000+891600+112700+446560</f>
        <v>1593860</v>
      </c>
      <c r="R120" s="73">
        <f>SUM(B120:Q120)</f>
        <v>17958765.32</v>
      </c>
    </row>
    <row r="121" ht="15" thickTop="1"/>
    <row r="123" ht="14.25">
      <c r="K123" s="81" t="s">
        <v>252</v>
      </c>
    </row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1">
      <selection activeCell="J51" sqref="J51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4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ht="16.5">
      <c r="A2" s="354" t="s">
        <v>476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8" ht="16.5">
      <c r="A3" s="355" t="s">
        <v>561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pans="3:18" s="123" customFormat="1" ht="16.5" customHeight="1"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64" customFormat="1" ht="14.25">
      <c r="A5" s="65" t="s">
        <v>115</v>
      </c>
      <c r="B5" s="352" t="s">
        <v>92</v>
      </c>
      <c r="C5" s="353" t="s">
        <v>93</v>
      </c>
      <c r="D5" s="353"/>
      <c r="E5" s="353"/>
      <c r="F5" s="87" t="s">
        <v>94</v>
      </c>
      <c r="G5" s="353" t="s">
        <v>95</v>
      </c>
      <c r="H5" s="353"/>
      <c r="I5" s="353" t="s">
        <v>96</v>
      </c>
      <c r="J5" s="353"/>
      <c r="K5" s="353" t="s">
        <v>98</v>
      </c>
      <c r="L5" s="353"/>
      <c r="M5" s="348" t="s">
        <v>391</v>
      </c>
      <c r="N5" s="349"/>
      <c r="O5" s="353" t="s">
        <v>99</v>
      </c>
      <c r="P5" s="353"/>
      <c r="Q5" s="281" t="s">
        <v>113</v>
      </c>
      <c r="R5" s="350" t="s">
        <v>19</v>
      </c>
    </row>
    <row r="6" spans="1:18" s="64" customFormat="1" ht="14.25">
      <c r="A6" s="66" t="s">
        <v>116</v>
      </c>
      <c r="B6" s="352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464</v>
      </c>
      <c r="N6" s="87" t="s">
        <v>390</v>
      </c>
      <c r="O6" s="87" t="s">
        <v>109</v>
      </c>
      <c r="P6" s="87" t="s">
        <v>110</v>
      </c>
      <c r="Q6" s="192" t="s">
        <v>114</v>
      </c>
      <c r="R6" s="351"/>
    </row>
    <row r="7" spans="1:18" ht="14.25">
      <c r="A7" s="88" t="s">
        <v>254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255</v>
      </c>
      <c r="B8" s="67">
        <v>0</v>
      </c>
      <c r="C8" s="67"/>
      <c r="D8" s="67"/>
      <c r="E8" s="67" t="s">
        <v>252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474</v>
      </c>
      <c r="B9" s="70">
        <v>591300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591300</v>
      </c>
    </row>
    <row r="10" spans="1:18" ht="14.25">
      <c r="A10" s="90" t="s">
        <v>475</v>
      </c>
      <c r="B10" s="70">
        <v>172800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172800</v>
      </c>
    </row>
    <row r="11" spans="1:18" ht="14.25">
      <c r="A11" s="90" t="s">
        <v>258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259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764100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764100</v>
      </c>
    </row>
    <row r="14" spans="1:18" ht="15" thickBot="1">
      <c r="A14" s="91" t="s">
        <v>37</v>
      </c>
      <c r="B14" s="73">
        <f>760350+757300+753000+749850+744500+742200+739300+735800+734100+731400+764100</f>
        <v>8211900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8211900</v>
      </c>
    </row>
    <row r="15" spans="1:18" ht="15" thickTop="1">
      <c r="A15" s="92" t="s">
        <v>260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443</v>
      </c>
    </row>
    <row r="16" spans="1:18" ht="14.25">
      <c r="A16" s="90" t="s">
        <v>261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262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263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264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265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266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268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32720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32720</v>
      </c>
    </row>
    <row r="26" spans="1:18" ht="14.25">
      <c r="A26" s="90" t="s">
        <v>269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270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32720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32720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16570+15810+16190+16190+16190+16190+16570+16570+16570+48594+32720</f>
        <v>228164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228164</v>
      </c>
    </row>
    <row r="30" spans="1:18" ht="15" thickTop="1">
      <c r="A30" s="89" t="s">
        <v>267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271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272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2" t="s">
        <v>92</v>
      </c>
      <c r="C41" s="353" t="s">
        <v>93</v>
      </c>
      <c r="D41" s="353"/>
      <c r="E41" s="353"/>
      <c r="F41" s="87" t="s">
        <v>94</v>
      </c>
      <c r="G41" s="353" t="s">
        <v>95</v>
      </c>
      <c r="H41" s="353"/>
      <c r="I41" s="353" t="s">
        <v>96</v>
      </c>
      <c r="J41" s="353"/>
      <c r="K41" s="353" t="s">
        <v>98</v>
      </c>
      <c r="L41" s="353"/>
      <c r="M41" s="348" t="s">
        <v>391</v>
      </c>
      <c r="N41" s="349"/>
      <c r="O41" s="353" t="s">
        <v>99</v>
      </c>
      <c r="P41" s="353"/>
      <c r="Q41" s="280" t="s">
        <v>113</v>
      </c>
      <c r="R41" s="350" t="s">
        <v>19</v>
      </c>
    </row>
    <row r="42" spans="1:18" s="64" customFormat="1" ht="14.25">
      <c r="A42" s="66" t="s">
        <v>116</v>
      </c>
      <c r="B42" s="352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464</v>
      </c>
      <c r="N42" s="87" t="s">
        <v>390</v>
      </c>
      <c r="O42" s="87" t="s">
        <v>109</v>
      </c>
      <c r="P42" s="87" t="s">
        <v>110</v>
      </c>
      <c r="Q42" s="192" t="s">
        <v>114</v>
      </c>
      <c r="R42" s="351"/>
    </row>
    <row r="43" spans="1:18" ht="14.25">
      <c r="A43" s="92" t="s">
        <v>267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273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274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9000+10000+10000+11000+10000+10000+10000+10000+10000</f>
        <v>90000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90000</v>
      </c>
    </row>
    <row r="48" spans="1:18" ht="15" thickTop="1">
      <c r="A48" s="92" t="s">
        <v>275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276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277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278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279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282</v>
      </c>
      <c r="B57" s="215" t="s">
        <v>394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283</v>
      </c>
      <c r="B58" s="76"/>
      <c r="C58" s="76">
        <v>0</v>
      </c>
      <c r="D58" s="76"/>
      <c r="E58" s="76" t="s">
        <v>399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284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285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f>SUM(H59:H60)</f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f>63700+91000</f>
        <v>154700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154700</v>
      </c>
    </row>
    <row r="63" spans="1:18" ht="15" thickTop="1">
      <c r="A63" s="94" t="s">
        <v>286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287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288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289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252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290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292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293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294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295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296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297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2" t="s">
        <v>92</v>
      </c>
      <c r="C81" s="353" t="s">
        <v>93</v>
      </c>
      <c r="D81" s="353"/>
      <c r="E81" s="353"/>
      <c r="F81" s="87" t="s">
        <v>94</v>
      </c>
      <c r="G81" s="353" t="s">
        <v>95</v>
      </c>
      <c r="H81" s="353"/>
      <c r="I81" s="353" t="s">
        <v>96</v>
      </c>
      <c r="J81" s="353"/>
      <c r="K81" s="353" t="s">
        <v>98</v>
      </c>
      <c r="L81" s="353"/>
      <c r="M81" s="348" t="s">
        <v>391</v>
      </c>
      <c r="N81" s="349"/>
      <c r="O81" s="353" t="s">
        <v>99</v>
      </c>
      <c r="P81" s="353"/>
      <c r="Q81" s="280" t="s">
        <v>113</v>
      </c>
      <c r="R81" s="350" t="s">
        <v>19</v>
      </c>
    </row>
    <row r="82" spans="1:18" s="64" customFormat="1" ht="13.5" customHeight="1">
      <c r="A82" s="66" t="s">
        <v>116</v>
      </c>
      <c r="B82" s="352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464</v>
      </c>
      <c r="N82" s="87" t="s">
        <v>390</v>
      </c>
      <c r="O82" s="87" t="s">
        <v>109</v>
      </c>
      <c r="P82" s="87" t="s">
        <v>110</v>
      </c>
      <c r="Q82" s="192" t="s">
        <v>114</v>
      </c>
      <c r="R82" s="351"/>
    </row>
    <row r="83" spans="1:18" ht="13.5" customHeight="1">
      <c r="A83" s="92" t="s">
        <v>299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300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301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252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302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303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304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305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306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307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309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312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313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316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>
        <v>0</v>
      </c>
      <c r="R104" s="83">
        <f>SUM(Q104)</f>
        <v>0</v>
      </c>
    </row>
    <row r="105" spans="1:18" ht="13.5" customHeight="1">
      <c r="A105" s="90" t="s">
        <v>317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SUM(Q104:Q105)</f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1110000</f>
        <v>1110000</v>
      </c>
      <c r="R107" s="73">
        <f>SUM(Q107)</f>
        <v>1110000</v>
      </c>
    </row>
    <row r="108" spans="1:18" ht="13.5" customHeight="1" thickTop="1">
      <c r="A108" s="94" t="s">
        <v>318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319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320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389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322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323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764100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SUM(H28+H46+H61)</f>
        <v>32720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796820</v>
      </c>
    </row>
    <row r="120" spans="1:18" ht="13.5" customHeight="1" thickBot="1">
      <c r="A120" s="91" t="s">
        <v>37</v>
      </c>
      <c r="B120" s="73">
        <f>760350+757300+753000+749850+744500+742200+739300+735800+734100+731400+764100</f>
        <v>8211900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25570+25810+26190+27190+26190+26190+26570+90270+26570+139594+32720</f>
        <v>472864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f>1110000</f>
        <v>1110000</v>
      </c>
      <c r="R120" s="73">
        <f>SUM(B120:Q120)</f>
        <v>9794764</v>
      </c>
    </row>
    <row r="121" ht="15" thickTop="1"/>
  </sheetData>
  <sheetProtection/>
  <mergeCells count="28"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O81:P81"/>
    <mergeCell ref="R81:R82"/>
    <mergeCell ref="B81:B82"/>
    <mergeCell ref="C81:E81"/>
    <mergeCell ref="G81:H81"/>
    <mergeCell ref="I81:J81"/>
    <mergeCell ref="K81:L81"/>
    <mergeCell ref="M81:N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22">
      <selection activeCell="A31" sqref="A31:E31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551</v>
      </c>
      <c r="B1" s="298"/>
      <c r="C1" s="298"/>
      <c r="D1" s="298"/>
      <c r="E1" s="298"/>
    </row>
    <row r="2" spans="1:5" ht="21">
      <c r="A2" s="298" t="s">
        <v>248</v>
      </c>
      <c r="B2" s="298"/>
      <c r="C2" s="298"/>
      <c r="D2" s="298"/>
      <c r="E2" s="298"/>
    </row>
    <row r="3" spans="1:8" ht="21">
      <c r="A3" s="171" t="s">
        <v>136</v>
      </c>
      <c r="B3" s="171" t="s">
        <v>137</v>
      </c>
      <c r="C3" s="172" t="s">
        <v>138</v>
      </c>
      <c r="D3" s="171" t="s">
        <v>139</v>
      </c>
      <c r="E3" s="173" t="s">
        <v>140</v>
      </c>
      <c r="H3" s="22" t="s">
        <v>392</v>
      </c>
    </row>
    <row r="4" spans="1:5" ht="21">
      <c r="A4" s="174">
        <v>1</v>
      </c>
      <c r="B4" s="202">
        <v>21549</v>
      </c>
      <c r="C4" s="175" t="s">
        <v>515</v>
      </c>
      <c r="D4" s="174" t="s">
        <v>398</v>
      </c>
      <c r="E4" s="176">
        <v>50000</v>
      </c>
    </row>
    <row r="5" spans="1:5" ht="21">
      <c r="A5" s="174">
        <v>2</v>
      </c>
      <c r="B5" s="202">
        <v>21585</v>
      </c>
      <c r="C5" s="175" t="s">
        <v>525</v>
      </c>
      <c r="D5" s="174" t="s">
        <v>398</v>
      </c>
      <c r="E5" s="176">
        <v>50000</v>
      </c>
    </row>
    <row r="6" spans="1:5" ht="21">
      <c r="A6" s="174">
        <v>3</v>
      </c>
      <c r="B6" s="202">
        <v>21751</v>
      </c>
      <c r="C6" s="175" t="s">
        <v>543</v>
      </c>
      <c r="D6" s="174" t="s">
        <v>221</v>
      </c>
      <c r="E6" s="176">
        <v>16000</v>
      </c>
    </row>
    <row r="7" spans="1:5" ht="21">
      <c r="A7" s="174">
        <v>4</v>
      </c>
      <c r="B7" s="202">
        <v>21449</v>
      </c>
      <c r="C7" s="175" t="s">
        <v>449</v>
      </c>
      <c r="D7" s="174" t="s">
        <v>222</v>
      </c>
      <c r="E7" s="176">
        <v>44000</v>
      </c>
    </row>
    <row r="8" spans="1:5" ht="21">
      <c r="A8" s="174">
        <v>5</v>
      </c>
      <c r="B8" s="202">
        <v>21541</v>
      </c>
      <c r="C8" s="175" t="s">
        <v>513</v>
      </c>
      <c r="D8" s="174" t="s">
        <v>514</v>
      </c>
      <c r="E8" s="176">
        <v>40000</v>
      </c>
    </row>
    <row r="9" spans="1:5" ht="21">
      <c r="A9" s="174">
        <v>6</v>
      </c>
      <c r="B9" s="202">
        <v>21541</v>
      </c>
      <c r="C9" s="175" t="s">
        <v>511</v>
      </c>
      <c r="D9" s="174" t="s">
        <v>512</v>
      </c>
      <c r="E9" s="176">
        <v>76000</v>
      </c>
    </row>
    <row r="10" spans="1:5" ht="21">
      <c r="A10" s="174">
        <v>7</v>
      </c>
      <c r="B10" s="202">
        <v>21478</v>
      </c>
      <c r="C10" s="175" t="s">
        <v>467</v>
      </c>
      <c r="D10" s="174" t="s">
        <v>366</v>
      </c>
      <c r="E10" s="176">
        <v>24000</v>
      </c>
    </row>
    <row r="11" spans="1:5" ht="21">
      <c r="A11" s="174">
        <v>8</v>
      </c>
      <c r="B11" s="202">
        <v>21465</v>
      </c>
      <c r="C11" s="175" t="s">
        <v>469</v>
      </c>
      <c r="D11" s="174" t="s">
        <v>470</v>
      </c>
      <c r="E11" s="176">
        <v>30000</v>
      </c>
    </row>
    <row r="12" spans="1:5" ht="21">
      <c r="A12" s="174">
        <v>9</v>
      </c>
      <c r="B12" s="202">
        <v>21751</v>
      </c>
      <c r="C12" s="175" t="s">
        <v>544</v>
      </c>
      <c r="D12" s="174" t="s">
        <v>223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450</v>
      </c>
      <c r="D13" s="174" t="s">
        <v>451</v>
      </c>
      <c r="E13" s="176">
        <v>40000</v>
      </c>
    </row>
    <row r="14" spans="1:5" ht="21">
      <c r="A14" s="174">
        <v>11</v>
      </c>
      <c r="B14" s="202">
        <v>21522</v>
      </c>
      <c r="C14" s="175" t="s">
        <v>503</v>
      </c>
      <c r="D14" s="174" t="s">
        <v>504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361</v>
      </c>
      <c r="D15" s="174" t="s">
        <v>224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362</v>
      </c>
      <c r="D16" s="174" t="s">
        <v>225</v>
      </c>
      <c r="E16" s="176">
        <v>39000</v>
      </c>
    </row>
    <row r="17" spans="1:5" ht="21">
      <c r="A17" s="174">
        <v>14</v>
      </c>
      <c r="B17" s="202">
        <v>21431</v>
      </c>
      <c r="C17" s="175" t="s">
        <v>466</v>
      </c>
      <c r="D17" s="174" t="s">
        <v>452</v>
      </c>
      <c r="E17" s="176">
        <v>30000</v>
      </c>
    </row>
    <row r="18" spans="1:5" ht="21">
      <c r="A18" s="174">
        <v>15</v>
      </c>
      <c r="B18" s="202">
        <v>21571</v>
      </c>
      <c r="C18" s="175" t="s">
        <v>523</v>
      </c>
      <c r="D18" s="174" t="s">
        <v>524</v>
      </c>
      <c r="E18" s="176">
        <v>70000</v>
      </c>
    </row>
    <row r="19" spans="1:5" ht="21">
      <c r="A19" s="174">
        <v>16</v>
      </c>
      <c r="B19" s="202">
        <v>21470</v>
      </c>
      <c r="C19" s="175" t="s">
        <v>468</v>
      </c>
      <c r="D19" s="174" t="s">
        <v>363</v>
      </c>
      <c r="E19" s="176">
        <v>100000</v>
      </c>
    </row>
    <row r="20" spans="1:5" ht="21">
      <c r="A20" s="174">
        <v>17</v>
      </c>
      <c r="B20" s="202">
        <v>21509</v>
      </c>
      <c r="C20" s="175" t="s">
        <v>489</v>
      </c>
      <c r="D20" s="174" t="s">
        <v>490</v>
      </c>
      <c r="E20" s="176">
        <v>40000</v>
      </c>
    </row>
    <row r="21" spans="1:5" ht="21">
      <c r="A21" s="174">
        <v>18</v>
      </c>
      <c r="B21" s="202" t="s">
        <v>526</v>
      </c>
      <c r="C21" s="175" t="s">
        <v>527</v>
      </c>
      <c r="D21" s="174" t="s">
        <v>528</v>
      </c>
      <c r="E21" s="176">
        <v>13000</v>
      </c>
    </row>
    <row r="22" spans="1:5" ht="21">
      <c r="A22" s="174">
        <v>19</v>
      </c>
      <c r="B22" s="202">
        <v>237770</v>
      </c>
      <c r="C22" s="175" t="s">
        <v>226</v>
      </c>
      <c r="D22" s="174" t="s">
        <v>227</v>
      </c>
      <c r="E22" s="176">
        <v>13780</v>
      </c>
    </row>
    <row r="23" spans="1:5" ht="21">
      <c r="A23" s="174">
        <v>20</v>
      </c>
      <c r="B23" s="202">
        <v>237770</v>
      </c>
      <c r="C23" s="175" t="s">
        <v>174</v>
      </c>
      <c r="D23" s="174" t="s">
        <v>228</v>
      </c>
      <c r="E23" s="176">
        <v>8780</v>
      </c>
    </row>
    <row r="24" spans="1:5" ht="21">
      <c r="A24" s="174">
        <v>21</v>
      </c>
      <c r="B24" s="202">
        <v>21541</v>
      </c>
      <c r="C24" s="175" t="s">
        <v>509</v>
      </c>
      <c r="D24" s="174" t="s">
        <v>510</v>
      </c>
      <c r="E24" s="176">
        <v>60000</v>
      </c>
    </row>
    <row r="25" spans="1:5" ht="21">
      <c r="A25" s="174">
        <v>22</v>
      </c>
      <c r="B25" s="202">
        <v>21183</v>
      </c>
      <c r="C25" s="175" t="s">
        <v>395</v>
      </c>
      <c r="D25" s="174" t="s">
        <v>471</v>
      </c>
      <c r="E25" s="176">
        <v>20000</v>
      </c>
    </row>
    <row r="26" spans="1:5" ht="21">
      <c r="A26" s="174">
        <v>23</v>
      </c>
      <c r="B26" s="202">
        <v>21541</v>
      </c>
      <c r="C26" s="175" t="s">
        <v>505</v>
      </c>
      <c r="D26" s="174" t="s">
        <v>506</v>
      </c>
      <c r="E26" s="176">
        <v>24000</v>
      </c>
    </row>
    <row r="27" spans="1:5" ht="21">
      <c r="A27" s="174">
        <v>24</v>
      </c>
      <c r="B27" s="202">
        <v>21541</v>
      </c>
      <c r="C27" s="175" t="s">
        <v>507</v>
      </c>
      <c r="D27" s="174" t="s">
        <v>508</v>
      </c>
      <c r="E27" s="176">
        <v>26000</v>
      </c>
    </row>
    <row r="28" spans="1:5" ht="21">
      <c r="A28" s="174"/>
      <c r="B28" s="202"/>
      <c r="C28" s="175"/>
      <c r="D28" s="174"/>
      <c r="E28" s="176"/>
    </row>
    <row r="29" spans="1:5" ht="21">
      <c r="A29" s="297" t="s">
        <v>19</v>
      </c>
      <c r="B29" s="297"/>
      <c r="C29" s="297"/>
      <c r="D29" s="297"/>
      <c r="E29" s="177">
        <f>SUM(E4:E28)</f>
        <v>984560</v>
      </c>
    </row>
    <row r="30" ht="21">
      <c r="E30" s="179" t="s">
        <v>252</v>
      </c>
    </row>
    <row r="31" spans="1:6" ht="21">
      <c r="A31" s="299" t="s">
        <v>251</v>
      </c>
      <c r="B31" s="299"/>
      <c r="C31" s="299"/>
      <c r="D31" s="299"/>
      <c r="E31" s="299"/>
      <c r="F31" s="180"/>
    </row>
    <row r="32" spans="1:6" ht="21">
      <c r="A32" s="296" t="s">
        <v>220</v>
      </c>
      <c r="B32" s="296"/>
      <c r="C32" s="296"/>
      <c r="D32" s="296"/>
      <c r="E32" s="296"/>
      <c r="F32" s="296"/>
    </row>
    <row r="33" spans="1:6" ht="21">
      <c r="A33" s="296" t="s">
        <v>552</v>
      </c>
      <c r="B33" s="296"/>
      <c r="C33" s="296"/>
      <c r="D33" s="296"/>
      <c r="E33" s="296"/>
      <c r="F33" s="296"/>
    </row>
    <row r="35" ht="21">
      <c r="I35" s="22" t="s">
        <v>397</v>
      </c>
    </row>
    <row r="48" ht="21">
      <c r="E48" s="179">
        <v>0</v>
      </c>
    </row>
  </sheetData>
  <sheetProtection/>
  <mergeCells count="6">
    <mergeCell ref="A32:F32"/>
    <mergeCell ref="A33:F33"/>
    <mergeCell ref="A29:D29"/>
    <mergeCell ref="A1:E1"/>
    <mergeCell ref="A2:E2"/>
    <mergeCell ref="A31:E31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553</v>
      </c>
      <c r="B1" s="300"/>
      <c r="C1" s="300"/>
      <c r="D1" s="300"/>
      <c r="E1" s="34"/>
    </row>
    <row r="2" spans="1:5" ht="23.25">
      <c r="A2" s="300" t="s">
        <v>246</v>
      </c>
      <c r="B2" s="300"/>
      <c r="C2" s="300"/>
      <c r="D2" s="300"/>
      <c r="E2" s="34"/>
    </row>
    <row r="3" spans="1:4" ht="23.25">
      <c r="A3" s="300" t="s">
        <v>229</v>
      </c>
      <c r="B3" s="300"/>
      <c r="C3" s="300"/>
      <c r="D3" s="300"/>
    </row>
    <row r="5" spans="1:4" ht="23.25">
      <c r="A5" s="127" t="s">
        <v>136</v>
      </c>
      <c r="B5" s="127" t="s">
        <v>24</v>
      </c>
      <c r="C5" s="127" t="s">
        <v>69</v>
      </c>
      <c r="D5" s="127" t="s">
        <v>230</v>
      </c>
    </row>
    <row r="6" spans="1:4" ht="23.25">
      <c r="A6" s="139">
        <v>1</v>
      </c>
      <c r="B6" s="140" t="s">
        <v>231</v>
      </c>
      <c r="C6" s="141">
        <v>100000</v>
      </c>
      <c r="D6" s="140"/>
    </row>
    <row r="7" spans="1:4" ht="23.25">
      <c r="A7" s="142">
        <v>2</v>
      </c>
      <c r="B7" s="143" t="s">
        <v>232</v>
      </c>
      <c r="C7" s="144">
        <v>100000</v>
      </c>
      <c r="D7" s="143"/>
    </row>
    <row r="8" spans="1:4" ht="23.25">
      <c r="A8" s="142">
        <v>3</v>
      </c>
      <c r="B8" s="143" t="s">
        <v>233</v>
      </c>
      <c r="C8" s="144">
        <v>100000</v>
      </c>
      <c r="D8" s="143"/>
    </row>
    <row r="9" spans="1:4" ht="23.25">
      <c r="A9" s="142">
        <v>4</v>
      </c>
      <c r="B9" s="143" t="s">
        <v>234</v>
      </c>
      <c r="C9" s="144">
        <v>100000</v>
      </c>
      <c r="D9" s="143"/>
    </row>
    <row r="10" spans="1:4" ht="23.25">
      <c r="A10" s="142">
        <v>5</v>
      </c>
      <c r="B10" s="143" t="s">
        <v>235</v>
      </c>
      <c r="C10" s="144">
        <v>100000</v>
      </c>
      <c r="D10" s="143"/>
    </row>
    <row r="11" spans="1:4" ht="23.25">
      <c r="A11" s="142">
        <v>6</v>
      </c>
      <c r="B11" s="143" t="s">
        <v>236</v>
      </c>
      <c r="C11" s="144">
        <v>100000</v>
      </c>
      <c r="D11" s="143"/>
    </row>
    <row r="12" spans="1:4" ht="23.25">
      <c r="A12" s="142">
        <v>7</v>
      </c>
      <c r="B12" s="143" t="s">
        <v>237</v>
      </c>
      <c r="C12" s="144">
        <v>100000</v>
      </c>
      <c r="D12" s="143"/>
    </row>
    <row r="13" spans="1:4" ht="23.25">
      <c r="A13" s="142">
        <v>8</v>
      </c>
      <c r="B13" s="143" t="s">
        <v>238</v>
      </c>
      <c r="C13" s="144">
        <v>100000</v>
      </c>
      <c r="D13" s="143"/>
    </row>
    <row r="14" spans="1:4" ht="23.25">
      <c r="A14" s="142">
        <v>9</v>
      </c>
      <c r="B14" s="143" t="s">
        <v>239</v>
      </c>
      <c r="C14" s="144">
        <v>100000</v>
      </c>
      <c r="D14" s="143"/>
    </row>
    <row r="15" spans="1:4" ht="23.25">
      <c r="A15" s="142">
        <v>10</v>
      </c>
      <c r="B15" s="143" t="s">
        <v>240</v>
      </c>
      <c r="C15" s="144">
        <v>100000</v>
      </c>
      <c r="D15" s="143"/>
    </row>
    <row r="16" spans="1:4" ht="23.25">
      <c r="A16" s="145">
        <v>11</v>
      </c>
      <c r="B16" s="146" t="s">
        <v>241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242</v>
      </c>
      <c r="D20" s="126" t="s">
        <v>243</v>
      </c>
    </row>
    <row r="21" spans="1:3" ht="23.25">
      <c r="A21" s="126" t="s">
        <v>244</v>
      </c>
      <c r="C21" s="126" t="s">
        <v>247</v>
      </c>
    </row>
    <row r="22" spans="1:3" ht="23.25">
      <c r="A22" s="126" t="s">
        <v>554</v>
      </c>
      <c r="C22" s="126" t="s">
        <v>245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55">
      <selection activeCell="D5" sqref="D5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556</v>
      </c>
      <c r="B1" s="300"/>
      <c r="C1" s="300"/>
      <c r="D1" s="300"/>
      <c r="E1" s="300"/>
      <c r="F1" s="300"/>
    </row>
    <row r="2" spans="1:6" ht="23.25">
      <c r="A2" s="300" t="s">
        <v>358</v>
      </c>
      <c r="B2" s="300"/>
      <c r="C2" s="300"/>
      <c r="D2" s="300"/>
      <c r="E2" s="300"/>
      <c r="F2" s="300"/>
    </row>
    <row r="3" spans="1:6" ht="23.25">
      <c r="A3" s="302" t="s">
        <v>249</v>
      </c>
      <c r="B3" s="302"/>
      <c r="C3" s="302"/>
      <c r="D3" s="302"/>
      <c r="E3" s="302"/>
      <c r="F3" s="302"/>
    </row>
    <row r="4" spans="1:6" ht="23.25">
      <c r="A4" s="127" t="s">
        <v>136</v>
      </c>
      <c r="B4" s="127" t="s">
        <v>137</v>
      </c>
      <c r="C4" s="128" t="s">
        <v>138</v>
      </c>
      <c r="D4" s="127" t="s">
        <v>139</v>
      </c>
      <c r="E4" s="129" t="s">
        <v>140</v>
      </c>
      <c r="F4" s="129" t="s">
        <v>141</v>
      </c>
    </row>
    <row r="5" spans="1:6" ht="23.25">
      <c r="A5" s="130">
        <v>1</v>
      </c>
      <c r="B5" s="131">
        <v>16233</v>
      </c>
      <c r="C5" s="132" t="s">
        <v>142</v>
      </c>
      <c r="D5" s="130" t="s">
        <v>403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143</v>
      </c>
      <c r="D6" s="130" t="s">
        <v>144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145</v>
      </c>
      <c r="D7" s="130" t="s">
        <v>146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147</v>
      </c>
      <c r="D8" s="130" t="s">
        <v>148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149</v>
      </c>
      <c r="D9" s="130" t="s">
        <v>150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151</v>
      </c>
      <c r="D10" s="130" t="s">
        <v>152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153</v>
      </c>
      <c r="D11" s="130" t="s">
        <v>154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155</v>
      </c>
      <c r="D12" s="130" t="s">
        <v>156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157</v>
      </c>
      <c r="D13" s="130" t="s">
        <v>158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159</v>
      </c>
      <c r="D14" s="130" t="s">
        <v>160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161</v>
      </c>
      <c r="D15" s="130" t="s">
        <v>162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163</v>
      </c>
      <c r="D16" s="130" t="s">
        <v>164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165</v>
      </c>
      <c r="D17" s="130" t="s">
        <v>166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167</v>
      </c>
      <c r="D18" s="130" t="s">
        <v>144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168</v>
      </c>
      <c r="D19" s="130" t="s">
        <v>169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170</v>
      </c>
      <c r="D20" s="130" t="s">
        <v>158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171</v>
      </c>
      <c r="D21" s="130" t="s">
        <v>172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173</v>
      </c>
      <c r="D22" s="130" t="s">
        <v>154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174</v>
      </c>
      <c r="D23" s="130" t="s">
        <v>175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176</v>
      </c>
      <c r="D24" s="130" t="s">
        <v>156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177</v>
      </c>
      <c r="D25" s="130" t="s">
        <v>178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179</v>
      </c>
      <c r="D26" s="130" t="s">
        <v>156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180</v>
      </c>
      <c r="D27" s="130" t="s">
        <v>181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182</v>
      </c>
      <c r="D28" s="130" t="s">
        <v>183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184</v>
      </c>
      <c r="D29" s="130" t="s">
        <v>185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186</v>
      </c>
      <c r="D30" s="130" t="s">
        <v>187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188</v>
      </c>
      <c r="D31" s="130" t="s">
        <v>178</v>
      </c>
      <c r="E31" s="133">
        <v>15000</v>
      </c>
      <c r="F31" s="133">
        <v>188</v>
      </c>
    </row>
    <row r="33" spans="1:6" ht="22.5" customHeight="1">
      <c r="A33" s="127" t="s">
        <v>136</v>
      </c>
      <c r="B33" s="127" t="s">
        <v>137</v>
      </c>
      <c r="C33" s="128" t="s">
        <v>138</v>
      </c>
      <c r="D33" s="127" t="s">
        <v>139</v>
      </c>
      <c r="E33" s="129" t="s">
        <v>140</v>
      </c>
      <c r="F33" s="129" t="s">
        <v>141</v>
      </c>
    </row>
    <row r="34" spans="1:6" ht="22.5" customHeight="1">
      <c r="A34" s="130">
        <v>28</v>
      </c>
      <c r="B34" s="131">
        <v>19283</v>
      </c>
      <c r="C34" s="132" t="s">
        <v>189</v>
      </c>
      <c r="D34" s="130" t="s">
        <v>190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191</v>
      </c>
      <c r="D35" s="130" t="s">
        <v>192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193</v>
      </c>
      <c r="D36" s="130" t="s">
        <v>194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195</v>
      </c>
      <c r="D37" s="130" t="s">
        <v>196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197</v>
      </c>
      <c r="D38" s="130" t="s">
        <v>198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199</v>
      </c>
      <c r="D39" s="130" t="s">
        <v>200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201</v>
      </c>
      <c r="D40" s="130" t="s">
        <v>190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202</v>
      </c>
      <c r="D41" s="130" t="s">
        <v>203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204</v>
      </c>
      <c r="D42" s="130" t="s">
        <v>181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205</v>
      </c>
      <c r="D43" s="130" t="s">
        <v>185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206</v>
      </c>
      <c r="D44" s="130" t="s">
        <v>207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208</v>
      </c>
      <c r="D45" s="130" t="s">
        <v>209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210</v>
      </c>
      <c r="D46" s="130" t="s">
        <v>211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212</v>
      </c>
      <c r="D47" s="130" t="s">
        <v>213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214</v>
      </c>
      <c r="D48" s="130" t="s">
        <v>215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216</v>
      </c>
      <c r="D49" s="130" t="s">
        <v>217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218</v>
      </c>
      <c r="D50" s="130" t="s">
        <v>219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327</v>
      </c>
      <c r="D51" s="130" t="s">
        <v>328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369</v>
      </c>
      <c r="D52" s="130" t="s">
        <v>370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371</v>
      </c>
      <c r="D53" s="130" t="s">
        <v>372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373</v>
      </c>
      <c r="D54" s="130" t="s">
        <v>374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375</v>
      </c>
      <c r="D55" s="130" t="s">
        <v>217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376</v>
      </c>
      <c r="D56" s="130" t="s">
        <v>364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365</v>
      </c>
      <c r="D57" s="130" t="s">
        <v>396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393</v>
      </c>
      <c r="D58" s="130" t="s">
        <v>491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367</v>
      </c>
      <c r="D59" s="130" t="s">
        <v>368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377</v>
      </c>
      <c r="B62" s="301"/>
      <c r="C62" s="301"/>
      <c r="D62" s="301"/>
      <c r="E62" s="301"/>
      <c r="F62" s="301"/>
    </row>
    <row r="63" spans="1:6" ht="22.5" customHeight="1">
      <c r="A63" s="301" t="s">
        <v>220</v>
      </c>
      <c r="B63" s="301"/>
      <c r="C63" s="301"/>
      <c r="D63" s="301"/>
      <c r="E63" s="301"/>
      <c r="F63" s="301"/>
    </row>
    <row r="64" spans="1:6" ht="22.5" customHeight="1">
      <c r="A64" s="301" t="s">
        <v>555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553</v>
      </c>
      <c r="B1" s="298"/>
      <c r="C1" s="298"/>
    </row>
    <row r="2" spans="1:3" ht="23.25">
      <c r="A2" s="298" t="s">
        <v>358</v>
      </c>
      <c r="B2" s="298"/>
      <c r="C2" s="298"/>
    </row>
    <row r="3" spans="1:3" ht="23.25">
      <c r="A3" s="298" t="s">
        <v>250</v>
      </c>
      <c r="B3" s="298"/>
      <c r="C3" s="298"/>
    </row>
    <row r="4" spans="1:3" ht="19.5" customHeight="1">
      <c r="A4" s="171" t="s">
        <v>136</v>
      </c>
      <c r="B4" s="171" t="s">
        <v>137</v>
      </c>
      <c r="C4" s="173" t="s">
        <v>253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378</v>
      </c>
      <c r="B34" s="299"/>
      <c r="C34" s="299"/>
    </row>
    <row r="35" spans="1:3" ht="23.25">
      <c r="A35" s="308" t="s">
        <v>379</v>
      </c>
      <c r="B35" s="308"/>
      <c r="C35" s="308"/>
    </row>
    <row r="36" spans="1:3" ht="23.25">
      <c r="A36" s="296" t="s">
        <v>557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7"/>
  <sheetViews>
    <sheetView view="pageBreakPreview" zoomScaleSheetLayoutView="100" zoomScalePageLayoutView="0" workbookViewId="0" topLeftCell="A1">
      <selection activeCell="E175" sqref="E175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3" t="s">
        <v>465</v>
      </c>
      <c r="F1" s="313"/>
      <c r="G1" s="313"/>
    </row>
    <row r="2" spans="1:7" ht="19.5" customHeight="1">
      <c r="A2" s="314" t="s">
        <v>20</v>
      </c>
      <c r="B2" s="314"/>
      <c r="C2" s="314"/>
      <c r="D2" s="314"/>
      <c r="E2" s="314"/>
      <c r="F2" s="314"/>
      <c r="G2" s="314"/>
    </row>
    <row r="3" spans="1:7" ht="19.5" customHeight="1">
      <c r="A3" s="314" t="s">
        <v>559</v>
      </c>
      <c r="B3" s="314"/>
      <c r="C3" s="314"/>
      <c r="D3" s="314"/>
      <c r="E3" s="314"/>
      <c r="F3" s="314"/>
      <c r="G3" s="314"/>
    </row>
    <row r="4" spans="1:7" ht="19.5" customHeight="1">
      <c r="A4" s="315" t="s">
        <v>21</v>
      </c>
      <c r="B4" s="316"/>
      <c r="C4" s="316"/>
      <c r="D4" s="317"/>
      <c r="E4" s="318" t="s">
        <v>24</v>
      </c>
      <c r="F4" s="231"/>
      <c r="G4" s="232" t="s">
        <v>69</v>
      </c>
    </row>
    <row r="5" spans="1:7" ht="19.5" customHeight="1">
      <c r="A5" s="232" t="s">
        <v>22</v>
      </c>
      <c r="B5" s="233" t="s">
        <v>412</v>
      </c>
      <c r="C5" s="233" t="s">
        <v>19</v>
      </c>
      <c r="D5" s="234" t="s">
        <v>23</v>
      </c>
      <c r="E5" s="319"/>
      <c r="F5" s="235" t="s">
        <v>25</v>
      </c>
      <c r="G5" s="236" t="s">
        <v>415</v>
      </c>
    </row>
    <row r="6" spans="1:7" ht="19.5" customHeight="1">
      <c r="A6" s="236" t="s">
        <v>28</v>
      </c>
      <c r="B6" s="237" t="s">
        <v>413</v>
      </c>
      <c r="C6" s="238" t="s">
        <v>28</v>
      </c>
      <c r="D6" s="239" t="s">
        <v>28</v>
      </c>
      <c r="E6" s="319"/>
      <c r="F6" s="235" t="s">
        <v>26</v>
      </c>
      <c r="G6" s="236" t="s">
        <v>416</v>
      </c>
    </row>
    <row r="7" spans="1:7" ht="19.5" customHeight="1">
      <c r="A7" s="240"/>
      <c r="B7" s="241" t="s">
        <v>414</v>
      </c>
      <c r="C7" s="241"/>
      <c r="D7" s="242"/>
      <c r="E7" s="320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35185039.45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112.14+13.35+419.58+18951.63+38336.85+329333.5+19031.29+13242.26+8628.6+3122.12+2067.54</f>
        <v>433258.8599999999</v>
      </c>
      <c r="E9" s="218" t="s">
        <v>39</v>
      </c>
      <c r="F9" s="235" t="s">
        <v>336</v>
      </c>
      <c r="G9" s="244">
        <v>2067.54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3626+2420+2292+5575.6+34703.4+36628.6+3669.8+18565.4+9365.4+2094.4+6369</f>
        <v>125309.6</v>
      </c>
      <c r="E10" s="218" t="s">
        <v>42</v>
      </c>
      <c r="F10" s="235" t="s">
        <v>337</v>
      </c>
      <c r="G10" s="244">
        <v>6369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5543.01+4002.89+50238.45+15920.24+3997.75+43495.89+5467.78+7085.38+21068.46+39059.53+7014.26</f>
        <v>202893.63999999998</v>
      </c>
      <c r="E11" s="218" t="s">
        <v>44</v>
      </c>
      <c r="F11" s="235" t="s">
        <v>338</v>
      </c>
      <c r="G11" s="236">
        <v>7014.26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4500+1300+200+1000+400+500+1900+100</f>
        <v>9900</v>
      </c>
      <c r="E12" s="218" t="s">
        <v>46</v>
      </c>
      <c r="F12" s="235" t="s">
        <v>339</v>
      </c>
      <c r="G12" s="236">
        <v>100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76</v>
      </c>
      <c r="F13" s="235" t="s">
        <v>340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1170175.13+1291106.59+1189193.64+766361.75+1357236.06+1563036.69+766013.28+2634200.47+731596.79+2201154.77+1328528.12</f>
        <v>14998603.29</v>
      </c>
      <c r="E14" s="218" t="s">
        <v>48</v>
      </c>
      <c r="F14" s="235" t="s">
        <v>388</v>
      </c>
      <c r="G14" s="236">
        <v>1328528.12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2608471+2757832+953263+796737</f>
        <v>7116303</v>
      </c>
      <c r="E15" s="218" t="s">
        <v>125</v>
      </c>
      <c r="F15" s="235" t="s">
        <v>342</v>
      </c>
      <c r="G15" s="236">
        <v>0</v>
      </c>
    </row>
    <row r="16" spans="1:7" ht="19.5" customHeight="1">
      <c r="A16" s="245"/>
      <c r="B16" s="247">
        <f>10783645+2833100+196314+32000</f>
        <v>13845059</v>
      </c>
      <c r="C16" s="245">
        <f>10783645+2833100+196314+32000</f>
        <v>13845059</v>
      </c>
      <c r="D16" s="247">
        <f>2480170+1713600+53380+1478400+1839800+2833100+196314+32000</f>
        <v>10626764</v>
      </c>
      <c r="E16" s="218" t="s">
        <v>417</v>
      </c>
      <c r="F16" s="235" t="s">
        <v>461</v>
      </c>
      <c r="G16" s="236">
        <v>32000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13845059</v>
      </c>
      <c r="C18" s="248">
        <f>SUM(C9:C17)</f>
        <v>37019609</v>
      </c>
      <c r="D18" s="248">
        <f>SUM(D9:D17)</f>
        <v>33513377.39</v>
      </c>
      <c r="E18" s="225" t="s">
        <v>19</v>
      </c>
      <c r="F18" s="249"/>
      <c r="G18" s="250">
        <f>SUM(G9:G17)</f>
        <v>1376078.9200000002</v>
      </c>
    </row>
    <row r="19" spans="1:7" ht="19.5" customHeight="1">
      <c r="A19" s="251"/>
      <c r="B19" s="251"/>
      <c r="C19" s="251"/>
      <c r="D19" s="245">
        <f>1000+78000+14500+35500+313300+9100+181250+24900+181700+28400+17600</f>
        <v>885250</v>
      </c>
      <c r="E19" s="218" t="s">
        <v>405</v>
      </c>
      <c r="F19" s="235" t="s">
        <v>435</v>
      </c>
      <c r="G19" s="244">
        <v>17600</v>
      </c>
    </row>
    <row r="20" spans="1:7" ht="19.5" customHeight="1">
      <c r="A20" s="251"/>
      <c r="B20" s="251"/>
      <c r="C20" s="251"/>
      <c r="D20" s="245"/>
      <c r="E20" s="218" t="s">
        <v>117</v>
      </c>
      <c r="F20" s="235" t="s">
        <v>439</v>
      </c>
      <c r="G20" s="244">
        <v>0</v>
      </c>
    </row>
    <row r="21" spans="1:7" ht="19.5" customHeight="1">
      <c r="A21" s="251"/>
      <c r="B21" s="251"/>
      <c r="C21" s="251"/>
      <c r="D21" s="245">
        <f>493.06+209.15+235.85+199.36+17.8+117.48+268.78+242.08+819.69+22.25+496.62</f>
        <v>3122.12</v>
      </c>
      <c r="E21" s="218" t="s">
        <v>333</v>
      </c>
      <c r="F21" s="235" t="s">
        <v>436</v>
      </c>
      <c r="G21" s="244">
        <v>496.62</v>
      </c>
    </row>
    <row r="22" spans="1:7" ht="19.5" customHeight="1">
      <c r="A22" s="251"/>
      <c r="B22" s="251"/>
      <c r="C22" s="251"/>
      <c r="D22" s="245">
        <f>1569410+544890+557800+561600</f>
        <v>3233700</v>
      </c>
      <c r="E22" s="218" t="s">
        <v>445</v>
      </c>
      <c r="F22" s="235" t="s">
        <v>446</v>
      </c>
      <c r="G22" s="244">
        <v>0</v>
      </c>
    </row>
    <row r="23" spans="1:7" ht="19.5" customHeight="1">
      <c r="A23" s="251"/>
      <c r="B23" s="251"/>
      <c r="C23" s="251"/>
      <c r="D23" s="245">
        <f>785920+783490+544890+557800+561600</f>
        <v>3233700</v>
      </c>
      <c r="E23" s="218" t="s">
        <v>447</v>
      </c>
      <c r="F23" s="235" t="s">
        <v>453</v>
      </c>
      <c r="G23" s="244">
        <v>0</v>
      </c>
    </row>
    <row r="24" spans="1:7" ht="19.5" customHeight="1">
      <c r="A24" s="251"/>
      <c r="B24" s="251"/>
      <c r="C24" s="251"/>
      <c r="D24" s="245">
        <f>124000+190000+186000+133000+46000+47000</f>
        <v>726000</v>
      </c>
      <c r="E24" s="218" t="s">
        <v>438</v>
      </c>
      <c r="F24" s="235" t="s">
        <v>437</v>
      </c>
      <c r="G24" s="244">
        <v>47000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430</v>
      </c>
      <c r="G25" s="244">
        <v>0</v>
      </c>
    </row>
    <row r="26" spans="1:7" ht="19.5" customHeight="1">
      <c r="A26" s="245"/>
      <c r="B26" s="245"/>
      <c r="C26" s="245"/>
      <c r="D26" s="245">
        <f>9450</f>
        <v>9450</v>
      </c>
      <c r="E26" s="218" t="s">
        <v>454</v>
      </c>
      <c r="F26" s="235" t="s">
        <v>478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22540.91+277870.57+205869.41+17560.93+22674.49+412707.76+266319.49+328251.35+241763.16+309175.99+287357.38</f>
        <v>2392091.44</v>
      </c>
      <c r="E27" s="218" t="s">
        <v>128</v>
      </c>
      <c r="F27" s="235" t="s">
        <v>440</v>
      </c>
      <c r="G27" s="244">
        <v>287357.38</v>
      </c>
    </row>
    <row r="28" spans="1:7" ht="19.5" customHeight="1">
      <c r="A28" s="252"/>
      <c r="B28" s="252"/>
      <c r="C28" s="252"/>
      <c r="D28" s="248">
        <f>SUM(D19:D27)</f>
        <v>10483313.56</v>
      </c>
      <c r="E28" s="225" t="s">
        <v>19</v>
      </c>
      <c r="F28" s="235"/>
      <c r="G28" s="250">
        <f>SUM(G19:G27)</f>
        <v>352454</v>
      </c>
    </row>
    <row r="29" spans="1:7" ht="19.5" customHeight="1">
      <c r="A29" s="244"/>
      <c r="B29" s="244"/>
      <c r="C29" s="244"/>
      <c r="D29" s="248">
        <f>SUM(D18+D28)</f>
        <v>43996690.95</v>
      </c>
      <c r="E29" s="225" t="s">
        <v>30</v>
      </c>
      <c r="F29" s="235"/>
      <c r="G29" s="250">
        <f>SUM(G18+G28)</f>
        <v>1728532.9200000002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f>698780+150000</f>
        <v>848780</v>
      </c>
      <c r="B40" s="244"/>
      <c r="C40" s="244">
        <f>698780+150000</f>
        <v>848780</v>
      </c>
      <c r="D40" s="258">
        <f>54652+155486+7752+127752+7752+7752+22005+86817+7002+7502+37907</f>
        <v>522379</v>
      </c>
      <c r="E40" s="218" t="s">
        <v>31</v>
      </c>
      <c r="F40" s="235" t="s">
        <v>427</v>
      </c>
      <c r="G40" s="258">
        <v>37907</v>
      </c>
    </row>
    <row r="41" spans="1:7" ht="16.5" customHeight="1">
      <c r="A41" s="244"/>
      <c r="B41" s="244">
        <f>3114000+1214500+585000+2277100</f>
        <v>7190600</v>
      </c>
      <c r="C41" s="244">
        <f>3114000+1214500+585000+2277100</f>
        <v>7190600</v>
      </c>
      <c r="D41" s="258">
        <f>611900+609600+606100+605300+600800+598500+597200+595300+593600+593000+591300</f>
        <v>6602600</v>
      </c>
      <c r="E41" s="218" t="s">
        <v>455</v>
      </c>
      <c r="F41" s="235" t="s">
        <v>427</v>
      </c>
      <c r="G41" s="258">
        <v>591300</v>
      </c>
    </row>
    <row r="42" spans="1:7" ht="16.5" customHeight="1">
      <c r="A42" s="244"/>
      <c r="B42" s="244">
        <f>936000+156000+144800+556000+24000+32000</f>
        <v>1848800</v>
      </c>
      <c r="C42" s="244">
        <f>936000+156000+144800+556000+24000+32000</f>
        <v>1848800</v>
      </c>
      <c r="D42" s="258">
        <f>148000+147200+146400+144000+143200+143200+141600+140000+140000+138400+172800</f>
        <v>1604800</v>
      </c>
      <c r="E42" s="218" t="s">
        <v>456</v>
      </c>
      <c r="F42" s="235" t="s">
        <v>427</v>
      </c>
      <c r="G42" s="258">
        <v>172800</v>
      </c>
    </row>
    <row r="43" spans="1:7" ht="16.5" customHeight="1">
      <c r="A43" s="244"/>
      <c r="B43" s="244">
        <f>2500+2000</f>
        <v>4500</v>
      </c>
      <c r="C43" s="244">
        <f>2500+2000</f>
        <v>4500</v>
      </c>
      <c r="D43" s="258">
        <f>450+500+500+550+500+500+500+500+500</f>
        <v>4500</v>
      </c>
      <c r="E43" s="218" t="s">
        <v>457</v>
      </c>
      <c r="F43" s="235" t="s">
        <v>427</v>
      </c>
      <c r="G43" s="258">
        <v>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235860+235860+235860+235860+235860+235860+235860+235860+235860+235860+235860</f>
        <v>2594460</v>
      </c>
      <c r="E44" s="218" t="s">
        <v>329</v>
      </c>
      <c r="F44" s="235" t="s">
        <v>428</v>
      </c>
      <c r="G44" s="258">
        <v>235860</v>
      </c>
    </row>
    <row r="45" spans="1:7" ht="16.5" customHeight="1">
      <c r="A45" s="236">
        <f>4848400-96000+100000</f>
        <v>4852400</v>
      </c>
      <c r="B45" s="236" t="s">
        <v>252</v>
      </c>
      <c r="C45" s="236">
        <f>4848400-96000+100000</f>
        <v>4852400</v>
      </c>
      <c r="D45" s="258">
        <f>361120+359990+359990+511183+380859+374145+380675+394675+383475+384224+383765</f>
        <v>4274101</v>
      </c>
      <c r="E45" s="218" t="s">
        <v>330</v>
      </c>
      <c r="F45" s="235" t="s">
        <v>429</v>
      </c>
      <c r="G45" s="258">
        <v>383765</v>
      </c>
    </row>
    <row r="46" spans="1:7" ht="16.5" customHeight="1">
      <c r="A46" s="236"/>
      <c r="B46" s="236">
        <f>80950+65900+81314</f>
        <v>228164</v>
      </c>
      <c r="C46" s="236">
        <f>80950+65900+81314</f>
        <v>228164</v>
      </c>
      <c r="D46" s="258">
        <f>16570+15810+16190+16190+16190+16190+16570+16570+16570+48594+32720</f>
        <v>228164</v>
      </c>
      <c r="E46" s="218" t="s">
        <v>462</v>
      </c>
      <c r="F46" s="235" t="s">
        <v>429</v>
      </c>
      <c r="G46" s="258">
        <v>32720</v>
      </c>
    </row>
    <row r="47" spans="1:7" ht="16.5" customHeight="1">
      <c r="A47" s="259">
        <f>182000-18000</f>
        <v>164000</v>
      </c>
      <c r="B47" s="259"/>
      <c r="C47" s="259">
        <f>182000-18000</f>
        <v>164000</v>
      </c>
      <c r="D47" s="258">
        <f>13285+13285+13285+13385+13310+13310+13760+13760+13760+13760+13760</f>
        <v>148660</v>
      </c>
      <c r="E47" s="218" t="s">
        <v>331</v>
      </c>
      <c r="F47" s="235" t="s">
        <v>429</v>
      </c>
      <c r="G47" s="258">
        <v>13760</v>
      </c>
    </row>
    <row r="48" spans="1:7" ht="16.5" customHeight="1">
      <c r="A48" s="244">
        <f>1792000-36000-100000</f>
        <v>1656000</v>
      </c>
      <c r="B48" s="244"/>
      <c r="C48" s="244">
        <f>1792000-36000-100000</f>
        <v>1656000</v>
      </c>
      <c r="D48" s="258">
        <f>353010+117670+117670+117670+111203+100050+100050+132620+112145</f>
        <v>1262088</v>
      </c>
      <c r="E48" s="218" t="s">
        <v>332</v>
      </c>
      <c r="F48" s="235" t="s">
        <v>429</v>
      </c>
      <c r="G48" s="258">
        <v>112145</v>
      </c>
    </row>
    <row r="49" spans="1:7" ht="16.5" customHeight="1">
      <c r="A49" s="244"/>
      <c r="B49" s="244">
        <f>50000+40000</f>
        <v>90000</v>
      </c>
      <c r="C49" s="244">
        <f>50000+40000</f>
        <v>90000</v>
      </c>
      <c r="D49" s="258">
        <f>9000+10000+10000+11000+10000+10000+10000+10000+10000</f>
        <v>90000</v>
      </c>
      <c r="E49" s="218" t="s">
        <v>463</v>
      </c>
      <c r="F49" s="235" t="s">
        <v>429</v>
      </c>
      <c r="G49" s="258">
        <v>0</v>
      </c>
    </row>
    <row r="50" spans="1:7" ht="16.5" customHeight="1">
      <c r="A50" s="244">
        <f>1014000-50000</f>
        <v>964000</v>
      </c>
      <c r="B50" s="244"/>
      <c r="C50" s="244">
        <f>964000</f>
        <v>964000</v>
      </c>
      <c r="D50" s="258">
        <f>33160+36531+23500+32150+27280+35163+23500+24500+30461+39600+35650</f>
        <v>341495</v>
      </c>
      <c r="E50" s="218" t="s">
        <v>6</v>
      </c>
      <c r="F50" s="235" t="s">
        <v>430</v>
      </c>
      <c r="G50" s="258">
        <v>35650</v>
      </c>
    </row>
    <row r="51" spans="1:7" ht="16.5" customHeight="1">
      <c r="A51" s="244">
        <f>3217600+40000-44000</f>
        <v>3213600</v>
      </c>
      <c r="B51" s="244"/>
      <c r="C51" s="244">
        <f>3257600-44000</f>
        <v>3213600</v>
      </c>
      <c r="D51" s="258">
        <f>18904+240248.7+95004.04+281383.07+527412.92+124000.79+362204.59+51551+297596.5+164370+108800.8</f>
        <v>2271476.41</v>
      </c>
      <c r="E51" s="218" t="s">
        <v>7</v>
      </c>
      <c r="F51" s="235" t="s">
        <v>357</v>
      </c>
      <c r="G51" s="258">
        <v>108800.8</v>
      </c>
    </row>
    <row r="52" spans="1:7" ht="16.5" customHeight="1">
      <c r="A52" s="244"/>
      <c r="B52" s="244">
        <f>63700+91000</f>
        <v>154700</v>
      </c>
      <c r="C52" s="244">
        <f>63700+91000</f>
        <v>154700</v>
      </c>
      <c r="D52" s="258">
        <f>63700+91000</f>
        <v>154700</v>
      </c>
      <c r="E52" s="218" t="s">
        <v>502</v>
      </c>
      <c r="F52" s="235" t="s">
        <v>357</v>
      </c>
      <c r="G52" s="258">
        <v>0</v>
      </c>
    </row>
    <row r="53" spans="1:7" ht="16.5" customHeight="1">
      <c r="A53" s="244">
        <f>1814570+10000</f>
        <v>1824570</v>
      </c>
      <c r="B53" s="244"/>
      <c r="C53" s="244">
        <f>1824570</f>
        <v>1824570</v>
      </c>
      <c r="D53" s="258">
        <f>25396+9605+122230.62+56350+184713.8+273857.04+103299.06+9315+178082.02+113843.56+155013.2</f>
        <v>1231705.3</v>
      </c>
      <c r="E53" s="218" t="s">
        <v>8</v>
      </c>
      <c r="F53" s="235" t="s">
        <v>431</v>
      </c>
      <c r="G53" s="258">
        <v>155013.2</v>
      </c>
    </row>
    <row r="54" spans="1:7" ht="16.5" customHeight="1">
      <c r="A54" s="244">
        <v>376000</v>
      </c>
      <c r="B54" s="244"/>
      <c r="C54" s="244">
        <f>376000-10000+10000</f>
        <v>376000</v>
      </c>
      <c r="D54" s="258">
        <f>22325.18+21398.69+35586.46+17354.4+17917.7+23555.48+9153.86+46774.84+15920.2+20962.65+30227.21</f>
        <v>261176.66999999995</v>
      </c>
      <c r="E54" s="218" t="s">
        <v>9</v>
      </c>
      <c r="F54" s="235" t="s">
        <v>432</v>
      </c>
      <c r="G54" s="258">
        <v>30227.21</v>
      </c>
    </row>
    <row r="55" spans="1:7" ht="16.5" customHeight="1">
      <c r="A55" s="244">
        <f>1158600+44000</f>
        <v>1202600</v>
      </c>
      <c r="B55" s="244"/>
      <c r="C55" s="244">
        <f>1158600+44000</f>
        <v>1202600</v>
      </c>
      <c r="D55" s="258">
        <f>2050+45717.27+5520+19750+16950+9060+99423.15+32020+9800+782200</f>
        <v>1022490.4199999999</v>
      </c>
      <c r="E55" s="218" t="s">
        <v>54</v>
      </c>
      <c r="F55" s="235" t="s">
        <v>433</v>
      </c>
      <c r="G55" s="258">
        <v>782200</v>
      </c>
    </row>
    <row r="56" spans="1:7" ht="16.5" customHeight="1">
      <c r="A56" s="244">
        <v>2928000</v>
      </c>
      <c r="B56" s="244"/>
      <c r="C56" s="244">
        <f>2928000</f>
        <v>2928000</v>
      </c>
      <c r="D56" s="258">
        <f>143000+891600+112700+19600+615060</f>
        <v>1781960</v>
      </c>
      <c r="E56" s="218" t="s">
        <v>55</v>
      </c>
      <c r="F56" s="235" t="s">
        <v>341</v>
      </c>
      <c r="G56" s="258">
        <v>615060</v>
      </c>
    </row>
    <row r="57" spans="1:7" ht="16.5" customHeight="1">
      <c r="A57" s="244"/>
      <c r="B57" s="244">
        <v>1110000</v>
      </c>
      <c r="C57" s="244">
        <v>1110000</v>
      </c>
      <c r="D57" s="258">
        <v>1110000</v>
      </c>
      <c r="E57" s="218" t="s">
        <v>531</v>
      </c>
      <c r="F57" s="235" t="s">
        <v>341</v>
      </c>
      <c r="G57" s="258">
        <v>0</v>
      </c>
    </row>
    <row r="58" spans="1:7" ht="16.5" customHeight="1">
      <c r="A58" s="244"/>
      <c r="B58" s="244">
        <v>546595</v>
      </c>
      <c r="C58" s="244">
        <v>546595</v>
      </c>
      <c r="D58" s="258"/>
      <c r="E58" s="218" t="s">
        <v>536</v>
      </c>
      <c r="F58" s="235"/>
      <c r="G58" s="258"/>
    </row>
    <row r="59" spans="1:7" ht="16.5" customHeight="1">
      <c r="A59" s="244"/>
      <c r="B59" s="244"/>
      <c r="C59" s="244"/>
      <c r="D59" s="258"/>
      <c r="E59" s="218" t="s">
        <v>537</v>
      </c>
      <c r="F59" s="235"/>
      <c r="G59" s="258"/>
    </row>
    <row r="60" spans="1:7" ht="16.5" customHeight="1">
      <c r="A60" s="244"/>
      <c r="B60" s="244">
        <v>2671700</v>
      </c>
      <c r="C60" s="244">
        <v>2671700</v>
      </c>
      <c r="D60" s="258"/>
      <c r="E60" s="218" t="s">
        <v>538</v>
      </c>
      <c r="F60" s="235"/>
      <c r="G60" s="258"/>
    </row>
    <row r="61" spans="1:7" ht="16.5" customHeight="1">
      <c r="A61" s="244"/>
      <c r="B61" s="244"/>
      <c r="C61" s="244"/>
      <c r="D61" s="258"/>
      <c r="E61" s="218" t="s">
        <v>539</v>
      </c>
      <c r="F61" s="235"/>
      <c r="G61" s="258"/>
    </row>
    <row r="62" spans="1:7" ht="16.5" customHeight="1">
      <c r="A62" s="244">
        <v>2305000</v>
      </c>
      <c r="B62" s="244"/>
      <c r="C62" s="244">
        <v>2305000</v>
      </c>
      <c r="D62" s="258">
        <f>384580+590940+10000+304260-160+669600+297193.52</f>
        <v>2256413.52</v>
      </c>
      <c r="E62" s="218" t="s">
        <v>32</v>
      </c>
      <c r="F62" s="235" t="s">
        <v>434</v>
      </c>
      <c r="G62" s="258">
        <v>297193.52</v>
      </c>
    </row>
    <row r="63" spans="1:7" ht="16.5" customHeight="1">
      <c r="A63" s="244"/>
      <c r="B63" s="244"/>
      <c r="C63" s="244"/>
      <c r="D63" s="258"/>
      <c r="E63" s="218"/>
      <c r="F63" s="235"/>
      <c r="G63" s="258"/>
    </row>
    <row r="64" spans="1:7" ht="16.5" customHeight="1">
      <c r="A64" s="250">
        <f>SUM(A40:A63)</f>
        <v>23174550</v>
      </c>
      <c r="B64" s="250">
        <f>SUM(B41:B62)</f>
        <v>13845059</v>
      </c>
      <c r="C64" s="250">
        <f>SUM(C40:C63)</f>
        <v>37019609</v>
      </c>
      <c r="D64" s="260">
        <f>SUM(D40:D62)</f>
        <v>27763169.320000004</v>
      </c>
      <c r="E64" s="225" t="s">
        <v>19</v>
      </c>
      <c r="F64" s="235"/>
      <c r="G64" s="250">
        <f>SUM(G40:G63)</f>
        <v>3604401.73</v>
      </c>
    </row>
    <row r="65" spans="1:7" ht="15.75" customHeight="1">
      <c r="A65" s="244"/>
      <c r="B65" s="244"/>
      <c r="C65" s="244"/>
      <c r="D65" s="258">
        <f>10400+77000+13900+27700+313300+189850+500+24900+189500+28400+9800</f>
        <v>885250</v>
      </c>
      <c r="E65" s="218" t="s">
        <v>405</v>
      </c>
      <c r="F65" s="235" t="s">
        <v>435</v>
      </c>
      <c r="G65" s="244">
        <v>9800</v>
      </c>
    </row>
    <row r="66" spans="1:7" ht="16.5" customHeight="1">
      <c r="A66" s="244"/>
      <c r="B66" s="244"/>
      <c r="C66" s="244"/>
      <c r="D66" s="245">
        <f>785920+783490+544890+557800+561600</f>
        <v>3233700</v>
      </c>
      <c r="E66" s="218" t="s">
        <v>445</v>
      </c>
      <c r="F66" s="235" t="s">
        <v>446</v>
      </c>
      <c r="G66" s="244">
        <v>0</v>
      </c>
    </row>
    <row r="67" spans="1:7" ht="16.5" customHeight="1">
      <c r="A67" s="244"/>
      <c r="B67" s="244"/>
      <c r="C67" s="244"/>
      <c r="D67" s="245">
        <f>1569410+544890+557800+561600</f>
        <v>3233700</v>
      </c>
      <c r="E67" s="218" t="s">
        <v>447</v>
      </c>
      <c r="F67" s="235" t="s">
        <v>448</v>
      </c>
      <c r="G67" s="244">
        <v>0</v>
      </c>
    </row>
    <row r="68" spans="1:7" ht="16.5" customHeight="1">
      <c r="A68" s="244"/>
      <c r="B68" s="244"/>
      <c r="C68" s="244"/>
      <c r="D68" s="258">
        <f>154000+40000+376000+70000+63000+46000</f>
        <v>749000</v>
      </c>
      <c r="E68" s="218" t="s">
        <v>438</v>
      </c>
      <c r="F68" s="235" t="s">
        <v>437</v>
      </c>
      <c r="G68" s="258">
        <v>0</v>
      </c>
    </row>
    <row r="69" spans="1:7" ht="16.5" customHeight="1">
      <c r="A69" s="244"/>
      <c r="B69" s="244"/>
      <c r="C69" s="244"/>
      <c r="D69" s="258">
        <f>231482.61+22255.07+286867.84+28084.4+61655.14+279583.74+267815.56+301388.69+257186.45+286777.36+333764.54</f>
        <v>2356861.4</v>
      </c>
      <c r="E69" s="218" t="s">
        <v>134</v>
      </c>
      <c r="F69" s="235" t="s">
        <v>440</v>
      </c>
      <c r="G69" s="258">
        <v>333764.54</v>
      </c>
    </row>
    <row r="70" spans="1:7" ht="16.5" customHeight="1">
      <c r="A70" s="244"/>
      <c r="B70" s="244"/>
      <c r="C70" s="244"/>
      <c r="D70" s="258">
        <f>399873.04+193068</f>
        <v>592941.04</v>
      </c>
      <c r="E70" s="218" t="s">
        <v>406</v>
      </c>
      <c r="F70" s="235" t="s">
        <v>441</v>
      </c>
      <c r="G70" s="258">
        <v>0</v>
      </c>
    </row>
    <row r="71" spans="1:7" ht="16.5" customHeight="1">
      <c r="A71" s="244"/>
      <c r="B71" s="244"/>
      <c r="C71" s="244"/>
      <c r="D71" s="258">
        <f>964000+448800+815000+764200+407100+488000+451700+497700</f>
        <v>4836500</v>
      </c>
      <c r="E71" s="218" t="s">
        <v>10</v>
      </c>
      <c r="F71" s="235" t="s">
        <v>430</v>
      </c>
      <c r="G71" s="258">
        <v>0</v>
      </c>
    </row>
    <row r="72" spans="1:7" ht="16.5" customHeight="1">
      <c r="A72" s="244"/>
      <c r="B72" s="244"/>
      <c r="C72" s="244"/>
      <c r="D72" s="258"/>
      <c r="E72" s="218"/>
      <c r="F72" s="235"/>
      <c r="G72" s="258"/>
    </row>
    <row r="73" spans="1:7" ht="16.5" customHeight="1">
      <c r="A73" s="244"/>
      <c r="B73" s="244"/>
      <c r="C73" s="244"/>
      <c r="D73" s="258"/>
      <c r="E73" s="218"/>
      <c r="F73" s="235"/>
      <c r="G73" s="258"/>
    </row>
    <row r="74" spans="1:7" ht="16.5" customHeight="1">
      <c r="A74" s="244"/>
      <c r="B74" s="244"/>
      <c r="C74" s="244"/>
      <c r="D74" s="258"/>
      <c r="E74" s="219"/>
      <c r="F74" s="235"/>
      <c r="G74" s="258"/>
    </row>
    <row r="75" spans="1:7" ht="16.5" customHeight="1">
      <c r="A75" s="244"/>
      <c r="B75" s="244"/>
      <c r="C75" s="244"/>
      <c r="D75" s="248">
        <f>SUM(D65:D74)</f>
        <v>15887952.440000001</v>
      </c>
      <c r="E75" s="225" t="s">
        <v>19</v>
      </c>
      <c r="F75" s="235"/>
      <c r="G75" s="250">
        <f>SUM(G65:G74)</f>
        <v>343564.54</v>
      </c>
    </row>
    <row r="76" spans="1:7" ht="16.5" customHeight="1">
      <c r="A76" s="244"/>
      <c r="B76" s="244"/>
      <c r="C76" s="244"/>
      <c r="D76" s="243">
        <f>SUM(D75,D64)</f>
        <v>43651121.760000005</v>
      </c>
      <c r="E76" s="225" t="s">
        <v>418</v>
      </c>
      <c r="F76" s="235"/>
      <c r="G76" s="243">
        <f>SUM(G75,G64)</f>
        <v>3947966.27</v>
      </c>
    </row>
    <row r="77" spans="1:7" ht="16.5" customHeight="1">
      <c r="A77" s="244"/>
      <c r="B77" s="244"/>
      <c r="C77" s="244"/>
      <c r="D77" s="248">
        <f>SUM(D29-D76)</f>
        <v>345569.1899999976</v>
      </c>
      <c r="E77" s="225" t="s">
        <v>419</v>
      </c>
      <c r="F77" s="235"/>
      <c r="G77" s="250">
        <f>SUM(G29-G76)</f>
        <v>-2219433.3499999996</v>
      </c>
    </row>
    <row r="78" spans="1:7" ht="16.5" customHeight="1" thickBot="1">
      <c r="A78" s="261"/>
      <c r="B78" s="244"/>
      <c r="C78" s="244"/>
      <c r="D78" s="262">
        <f>D8+D77</f>
        <v>32965606.099999998</v>
      </c>
      <c r="E78" s="223" t="s">
        <v>420</v>
      </c>
      <c r="F78" s="263"/>
      <c r="G78" s="262">
        <f>G8+G77</f>
        <v>32965606.1</v>
      </c>
    </row>
    <row r="79" spans="1:7" ht="16.5" customHeight="1" thickTop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53"/>
      <c r="B85" s="253"/>
      <c r="C85" s="253"/>
      <c r="D85" s="254"/>
      <c r="E85" s="222"/>
      <c r="F85" s="255"/>
      <c r="G85" s="254"/>
    </row>
    <row r="86" spans="1:7" ht="16.5" customHeight="1">
      <c r="A86" s="253"/>
      <c r="B86" s="253"/>
      <c r="C86" s="253"/>
      <c r="D86" s="254"/>
      <c r="E86" s="222"/>
      <c r="F86" s="255"/>
      <c r="G86" s="254"/>
    </row>
    <row r="87" spans="1:7" ht="16.5" customHeight="1">
      <c r="A87" s="253"/>
      <c r="B87" s="253"/>
      <c r="C87" s="253"/>
      <c r="D87" s="254"/>
      <c r="E87" s="222"/>
      <c r="F87" s="255"/>
      <c r="G87" s="254"/>
    </row>
    <row r="88" spans="1:7" ht="16.5" customHeight="1">
      <c r="A88" s="253"/>
      <c r="B88" s="253"/>
      <c r="C88" s="253"/>
      <c r="D88" s="254"/>
      <c r="E88" s="222"/>
      <c r="F88" s="255"/>
      <c r="G88" s="254"/>
    </row>
    <row r="89" spans="1:7" ht="16.5" customHeight="1">
      <c r="A89" s="253"/>
      <c r="B89" s="253"/>
      <c r="C89" s="253"/>
      <c r="D89" s="254"/>
      <c r="E89" s="222"/>
      <c r="F89" s="255"/>
      <c r="G89" s="254"/>
    </row>
    <row r="90" spans="1:7" ht="16.5" customHeight="1">
      <c r="A90" s="218" t="s">
        <v>12</v>
      </c>
      <c r="B90" s="218"/>
      <c r="C90" s="218"/>
      <c r="D90" s="264"/>
      <c r="E90" s="224"/>
      <c r="F90" s="224"/>
      <c r="G90" s="224"/>
    </row>
    <row r="91" spans="1:7" ht="16.5" customHeight="1">
      <c r="A91" s="265" t="s">
        <v>13</v>
      </c>
      <c r="B91" s="265"/>
      <c r="C91" s="265"/>
      <c r="D91" s="264"/>
      <c r="E91" s="224"/>
      <c r="F91" s="224"/>
      <c r="G91" s="266"/>
    </row>
    <row r="92" spans="1:7" ht="16.5" customHeight="1">
      <c r="A92" s="265"/>
      <c r="B92" s="265"/>
      <c r="C92" s="265"/>
      <c r="D92" s="264"/>
      <c r="E92" s="224"/>
      <c r="F92" s="224"/>
      <c r="G92" s="266"/>
    </row>
    <row r="93" spans="1:7" ht="16.5" customHeight="1">
      <c r="A93" s="265"/>
      <c r="B93" s="265"/>
      <c r="C93" s="265"/>
      <c r="D93" s="264"/>
      <c r="E93" s="224"/>
      <c r="F93" s="224"/>
      <c r="G93" s="266"/>
    </row>
    <row r="94" spans="1:7" ht="16.5" customHeight="1">
      <c r="A94" s="309" t="s">
        <v>16</v>
      </c>
      <c r="B94" s="309"/>
      <c r="C94" s="309"/>
      <c r="D94" s="309"/>
      <c r="E94" s="309"/>
      <c r="F94" s="309"/>
      <c r="G94" s="309"/>
    </row>
    <row r="95" spans="1:7" ht="16.5" customHeight="1">
      <c r="A95" s="309" t="s">
        <v>89</v>
      </c>
      <c r="B95" s="309"/>
      <c r="C95" s="309"/>
      <c r="D95" s="309"/>
      <c r="E95" s="309"/>
      <c r="F95" s="309"/>
      <c r="G95" s="309"/>
    </row>
    <row r="96" spans="1:7" ht="16.5" customHeight="1">
      <c r="A96" s="225"/>
      <c r="B96" s="225"/>
      <c r="C96" s="225"/>
      <c r="D96" s="225"/>
      <c r="E96" s="225"/>
      <c r="F96" s="225"/>
      <c r="G96" s="225"/>
    </row>
    <row r="97" spans="1:7" ht="16.5" customHeight="1">
      <c r="A97" s="309" t="s">
        <v>14</v>
      </c>
      <c r="B97" s="309"/>
      <c r="C97" s="309"/>
      <c r="D97" s="309"/>
      <c r="E97" s="309"/>
      <c r="F97" s="309"/>
      <c r="G97" s="309"/>
    </row>
    <row r="98" spans="1:7" ht="16.5" customHeight="1">
      <c r="A98" s="225"/>
      <c r="B98" s="225"/>
      <c r="C98" s="225"/>
      <c r="D98" s="225"/>
      <c r="E98" s="225"/>
      <c r="F98" s="225"/>
      <c r="G98" s="225"/>
    </row>
    <row r="99" spans="1:7" ht="16.5" customHeight="1">
      <c r="A99" s="225"/>
      <c r="B99" s="225"/>
      <c r="C99" s="225"/>
      <c r="D99" s="225"/>
      <c r="E99" s="225"/>
      <c r="F99" s="225"/>
      <c r="G99" s="225"/>
    </row>
    <row r="100" spans="1:7" ht="16.5" customHeight="1">
      <c r="A100" s="309" t="s">
        <v>124</v>
      </c>
      <c r="B100" s="309"/>
      <c r="C100" s="309"/>
      <c r="D100" s="309"/>
      <c r="E100" s="309"/>
      <c r="F100" s="309"/>
      <c r="G100" s="309"/>
    </row>
    <row r="101" spans="1:7" ht="16.5" customHeight="1">
      <c r="A101" s="309" t="s">
        <v>15</v>
      </c>
      <c r="B101" s="309"/>
      <c r="C101" s="309"/>
      <c r="D101" s="309"/>
      <c r="E101" s="309"/>
      <c r="F101" s="309"/>
      <c r="G101" s="309"/>
    </row>
    <row r="102" spans="1:7" ht="16.5" customHeight="1">
      <c r="A102" s="310">
        <v>240939</v>
      </c>
      <c r="B102" s="310"/>
      <c r="C102" s="310"/>
      <c r="D102" s="310"/>
      <c r="E102" s="310"/>
      <c r="F102" s="310"/>
      <c r="G102" s="310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10" t="s">
        <v>63</v>
      </c>
      <c r="B127" s="310"/>
      <c r="C127" s="310"/>
      <c r="D127" s="310"/>
      <c r="E127" s="310"/>
      <c r="F127" s="310"/>
      <c r="G127" s="310"/>
    </row>
    <row r="128" spans="1:7" ht="19.5" customHeight="1">
      <c r="A128" s="312" t="s">
        <v>421</v>
      </c>
      <c r="B128" s="312"/>
      <c r="C128" s="312"/>
      <c r="D128" s="312"/>
      <c r="E128" s="312"/>
      <c r="F128" s="312"/>
      <c r="G128" s="312"/>
    </row>
    <row r="129" spans="1:7" ht="19.5" customHeight="1">
      <c r="A129" s="312" t="s">
        <v>550</v>
      </c>
      <c r="B129" s="312"/>
      <c r="C129" s="312"/>
      <c r="D129" s="312"/>
      <c r="E129" s="312"/>
      <c r="F129" s="312"/>
      <c r="G129" s="312"/>
    </row>
    <row r="130" spans="1:7" ht="19.5" customHeight="1">
      <c r="A130" s="321" t="s">
        <v>422</v>
      </c>
      <c r="B130" s="321"/>
      <c r="C130" s="321"/>
      <c r="D130" s="321"/>
      <c r="E130" s="321"/>
      <c r="F130" s="321"/>
      <c r="G130" s="321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69</v>
      </c>
    </row>
    <row r="132" spans="1:7" ht="19.5" customHeight="1">
      <c r="A132" s="311" t="s">
        <v>126</v>
      </c>
      <c r="B132" s="311"/>
      <c r="C132" s="311"/>
      <c r="D132" s="311"/>
      <c r="E132" s="227"/>
      <c r="F132" s="227"/>
      <c r="G132" s="223">
        <v>17562.21</v>
      </c>
    </row>
    <row r="133" spans="1:7" ht="19.5" customHeight="1">
      <c r="A133" s="311" t="s">
        <v>17</v>
      </c>
      <c r="B133" s="311"/>
      <c r="C133" s="228"/>
      <c r="D133" s="228"/>
      <c r="E133" s="227"/>
      <c r="F133" s="227"/>
      <c r="G133" s="223">
        <v>48138</v>
      </c>
    </row>
    <row r="134" spans="1:7" ht="19.5" customHeight="1">
      <c r="A134" s="228" t="s">
        <v>360</v>
      </c>
      <c r="B134" s="228"/>
      <c r="C134" s="228"/>
      <c r="D134" s="228"/>
      <c r="E134" s="227"/>
      <c r="F134" s="227"/>
      <c r="G134" s="223">
        <v>127.2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152.64</v>
      </c>
    </row>
    <row r="136" spans="1:7" ht="19.5" customHeight="1">
      <c r="A136" s="267" t="s">
        <v>384</v>
      </c>
      <c r="B136" s="267"/>
      <c r="C136" s="267"/>
      <c r="D136" s="218"/>
      <c r="E136" s="218"/>
      <c r="F136" s="264"/>
      <c r="G136" s="253">
        <v>5607</v>
      </c>
    </row>
    <row r="137" spans="1:7" ht="19.5" customHeight="1">
      <c r="A137" s="311" t="s">
        <v>547</v>
      </c>
      <c r="B137" s="311"/>
      <c r="C137" s="311"/>
      <c r="D137" s="311"/>
      <c r="E137" s="311"/>
      <c r="F137" s="264"/>
      <c r="G137" s="253">
        <v>0</v>
      </c>
    </row>
    <row r="138" spans="1:7" ht="19.5" customHeight="1">
      <c r="A138" s="311" t="s">
        <v>529</v>
      </c>
      <c r="B138" s="311"/>
      <c r="C138" s="311"/>
      <c r="D138" s="218"/>
      <c r="E138" s="218"/>
      <c r="F138" s="264"/>
      <c r="G138" s="253">
        <v>215770.33</v>
      </c>
    </row>
    <row r="139" spans="1:7" ht="19.5" customHeight="1" thickBot="1">
      <c r="A139" s="311"/>
      <c r="B139" s="311"/>
      <c r="C139" s="311"/>
      <c r="D139" s="218"/>
      <c r="E139" s="218"/>
      <c r="F139" s="264" t="s">
        <v>19</v>
      </c>
      <c r="G139" s="274">
        <f>SUM(G132:G138)</f>
        <v>287357.38</v>
      </c>
    </row>
    <row r="140" spans="1:7" ht="19.5" customHeight="1" thickTop="1">
      <c r="A140" s="311"/>
      <c r="B140" s="311"/>
      <c r="C140" s="311"/>
      <c r="D140" s="218"/>
      <c r="E140" s="218"/>
      <c r="F140" s="264"/>
      <c r="G140" s="253"/>
    </row>
    <row r="141" spans="1:7" ht="19.5" customHeight="1">
      <c r="A141" s="227"/>
      <c r="B141" s="227"/>
      <c r="C141" s="227"/>
      <c r="D141" s="227"/>
      <c r="E141" s="218"/>
      <c r="F141" s="264"/>
      <c r="G141" s="268"/>
    </row>
    <row r="142" spans="1:7" ht="19.5" customHeight="1">
      <c r="A142" s="310" t="s">
        <v>63</v>
      </c>
      <c r="B142" s="310"/>
      <c r="C142" s="310"/>
      <c r="D142" s="310"/>
      <c r="E142" s="310"/>
      <c r="F142" s="310"/>
      <c r="G142" s="310"/>
    </row>
    <row r="143" spans="1:7" ht="19.5" customHeight="1">
      <c r="A143" s="312" t="s">
        <v>421</v>
      </c>
      <c r="B143" s="312"/>
      <c r="C143" s="312"/>
      <c r="D143" s="312"/>
      <c r="E143" s="312"/>
      <c r="F143" s="312"/>
      <c r="G143" s="312"/>
    </row>
    <row r="144" spans="1:7" ht="19.5" customHeight="1">
      <c r="A144" s="312" t="s">
        <v>550</v>
      </c>
      <c r="B144" s="312"/>
      <c r="C144" s="312"/>
      <c r="D144" s="312"/>
      <c r="E144" s="312"/>
      <c r="F144" s="312"/>
      <c r="G144" s="312"/>
    </row>
    <row r="145" spans="1:7" ht="19.5" customHeight="1">
      <c r="A145" s="321" t="s">
        <v>423</v>
      </c>
      <c r="B145" s="321"/>
      <c r="C145" s="321"/>
      <c r="D145" s="321"/>
      <c r="E145" s="321"/>
      <c r="F145" s="321"/>
      <c r="G145" s="321"/>
    </row>
    <row r="146" spans="1:7" ht="19.5" customHeight="1">
      <c r="A146" s="269"/>
      <c r="B146" s="269"/>
      <c r="C146" s="269"/>
      <c r="D146" s="269"/>
      <c r="E146" s="269"/>
      <c r="F146" s="269"/>
      <c r="G146" s="227" t="s">
        <v>69</v>
      </c>
    </row>
    <row r="147" spans="1:7" ht="19.5" customHeight="1">
      <c r="A147" s="311" t="s">
        <v>126</v>
      </c>
      <c r="B147" s="311"/>
      <c r="C147" s="311"/>
      <c r="D147" s="311"/>
      <c r="E147" s="227"/>
      <c r="F147" s="227"/>
      <c r="G147" s="223">
        <v>17562.21</v>
      </c>
    </row>
    <row r="148" spans="1:7" ht="19.5" customHeight="1">
      <c r="A148" s="311" t="s">
        <v>530</v>
      </c>
      <c r="B148" s="311"/>
      <c r="C148" s="311"/>
      <c r="D148" s="228"/>
      <c r="E148" s="227"/>
      <c r="F148" s="227"/>
      <c r="G148" s="223">
        <v>54825</v>
      </c>
    </row>
    <row r="149" spans="1:7" ht="19.5" customHeight="1">
      <c r="A149" s="228" t="s">
        <v>384</v>
      </c>
      <c r="B149" s="228"/>
      <c r="C149" s="228"/>
      <c r="D149" s="228"/>
      <c r="E149" s="227"/>
      <c r="F149" s="227"/>
      <c r="G149" s="223">
        <v>5607</v>
      </c>
    </row>
    <row r="150" spans="1:7" ht="19.5" customHeight="1">
      <c r="A150" s="311" t="s">
        <v>529</v>
      </c>
      <c r="B150" s="311"/>
      <c r="C150" s="228"/>
      <c r="D150" s="228"/>
      <c r="E150" s="227"/>
      <c r="F150" s="227"/>
      <c r="G150" s="223">
        <v>215770.33</v>
      </c>
    </row>
    <row r="151" spans="1:7" ht="19.5" customHeight="1">
      <c r="A151" s="311" t="s">
        <v>560</v>
      </c>
      <c r="B151" s="311"/>
      <c r="C151" s="311"/>
      <c r="D151" s="311"/>
      <c r="E151" s="227"/>
      <c r="F151" s="227"/>
      <c r="G151" s="277">
        <v>40000</v>
      </c>
    </row>
    <row r="152" spans="1:7" ht="19.5" customHeight="1" thickBot="1">
      <c r="A152" s="227"/>
      <c r="B152" s="227"/>
      <c r="C152" s="227"/>
      <c r="D152" s="227"/>
      <c r="E152" s="227"/>
      <c r="F152" s="227" t="s">
        <v>19</v>
      </c>
      <c r="G152" s="275">
        <f>SUM(G147:G151)</f>
        <v>333764.54</v>
      </c>
    </row>
    <row r="153" spans="1:7" ht="19.5" customHeight="1" thickTop="1">
      <c r="A153" s="314"/>
      <c r="B153" s="314"/>
      <c r="C153" s="314"/>
      <c r="D153" s="314"/>
      <c r="E153" s="314"/>
      <c r="F153" s="314"/>
      <c r="G153" s="314"/>
    </row>
    <row r="154" spans="1:7" ht="19.5" customHeight="1">
      <c r="A154" s="314"/>
      <c r="B154" s="314"/>
      <c r="C154" s="314"/>
      <c r="D154" s="314"/>
      <c r="E154" s="314"/>
      <c r="F154" s="314"/>
      <c r="G154" s="314"/>
    </row>
    <row r="155" spans="1:7" ht="19.5" customHeight="1">
      <c r="A155" s="228"/>
      <c r="B155" s="228"/>
      <c r="C155" s="228"/>
      <c r="D155" s="228"/>
      <c r="E155" s="227"/>
      <c r="F155" s="227"/>
      <c r="G155" s="223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 t="s">
        <v>479</v>
      </c>
      <c r="F159" s="227"/>
      <c r="G159" s="223"/>
    </row>
    <row r="160" spans="1:7" ht="19.5" customHeight="1">
      <c r="A160" s="228"/>
      <c r="B160" s="228"/>
      <c r="C160" s="228"/>
      <c r="D160" s="228"/>
      <c r="E160" s="227"/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3"/>
      <c r="E162" s="223"/>
      <c r="F162" s="223"/>
      <c r="G162" s="223"/>
    </row>
    <row r="163" spans="1:7" ht="19.5" customHeight="1">
      <c r="A163" s="228"/>
      <c r="B163" s="228"/>
      <c r="C163" s="228"/>
      <c r="D163" s="228"/>
      <c r="E163" s="227"/>
      <c r="F163" s="227"/>
      <c r="G163" s="223"/>
    </row>
    <row r="164" spans="1:7" ht="19.5" customHeight="1">
      <c r="A164" s="310" t="s">
        <v>63</v>
      </c>
      <c r="B164" s="310"/>
      <c r="C164" s="310"/>
      <c r="D164" s="310"/>
      <c r="E164" s="310"/>
      <c r="F164" s="310"/>
      <c r="G164" s="310"/>
    </row>
    <row r="165" spans="1:7" ht="19.5" customHeight="1">
      <c r="A165" s="312" t="s">
        <v>421</v>
      </c>
      <c r="B165" s="312"/>
      <c r="C165" s="312"/>
      <c r="D165" s="312"/>
      <c r="E165" s="312"/>
      <c r="F165" s="312"/>
      <c r="G165" s="312"/>
    </row>
    <row r="166" spans="1:7" ht="19.5" customHeight="1">
      <c r="A166" s="312" t="s">
        <v>550</v>
      </c>
      <c r="B166" s="312"/>
      <c r="C166" s="312"/>
      <c r="D166" s="312"/>
      <c r="E166" s="312"/>
      <c r="F166" s="312"/>
      <c r="G166" s="312"/>
    </row>
    <row r="167" spans="1:7" ht="19.5" customHeight="1">
      <c r="A167" s="321" t="s">
        <v>406</v>
      </c>
      <c r="B167" s="321"/>
      <c r="C167" s="321"/>
      <c r="D167" s="321"/>
      <c r="E167" s="321"/>
      <c r="F167" s="321"/>
      <c r="G167" s="321"/>
    </row>
    <row r="168" spans="1:7" ht="19.5" customHeight="1">
      <c r="A168" s="269"/>
      <c r="B168" s="269"/>
      <c r="C168" s="269"/>
      <c r="D168" s="269"/>
      <c r="E168" s="269"/>
      <c r="F168" s="269"/>
      <c r="G168" s="227" t="s">
        <v>69</v>
      </c>
    </row>
    <row r="169" spans="1:7" ht="19.5" customHeight="1">
      <c r="A169" s="286" t="s">
        <v>516</v>
      </c>
      <c r="B169" s="286"/>
      <c r="C169" s="286"/>
      <c r="D169" s="286"/>
      <c r="E169" s="228"/>
      <c r="F169" s="228"/>
      <c r="G169" s="223">
        <v>0</v>
      </c>
    </row>
    <row r="170" spans="1:7" ht="19.5" customHeight="1">
      <c r="A170" s="311" t="s">
        <v>517</v>
      </c>
      <c r="B170" s="311"/>
      <c r="C170" s="311"/>
      <c r="D170" s="311"/>
      <c r="E170" s="228"/>
      <c r="F170" s="228"/>
      <c r="G170" s="223">
        <v>0</v>
      </c>
    </row>
    <row r="171" spans="1:7" ht="19.5" customHeight="1">
      <c r="A171" s="311" t="s">
        <v>518</v>
      </c>
      <c r="B171" s="311"/>
      <c r="C171" s="311"/>
      <c r="D171" s="311"/>
      <c r="E171" s="228"/>
      <c r="F171" s="228"/>
      <c r="G171" s="223">
        <v>0</v>
      </c>
    </row>
    <row r="172" spans="1:7" ht="19.5" customHeight="1">
      <c r="A172" s="286" t="s">
        <v>519</v>
      </c>
      <c r="B172" s="286"/>
      <c r="C172" s="286"/>
      <c r="D172" s="286"/>
      <c r="E172" s="228"/>
      <c r="F172" s="228"/>
      <c r="G172" s="223">
        <v>0</v>
      </c>
    </row>
    <row r="173" spans="1:7" ht="19.5" customHeight="1">
      <c r="A173" s="311" t="s">
        <v>520</v>
      </c>
      <c r="B173" s="311"/>
      <c r="C173" s="311"/>
      <c r="D173" s="311"/>
      <c r="E173" s="311"/>
      <c r="F173" s="227"/>
      <c r="G173" s="223">
        <v>0</v>
      </c>
    </row>
    <row r="174" spans="1:7" ht="19.5" customHeight="1">
      <c r="A174" s="228"/>
      <c r="B174" s="228"/>
      <c r="C174" s="228"/>
      <c r="D174" s="223"/>
      <c r="E174" s="223"/>
      <c r="F174" s="223"/>
      <c r="G174" s="223"/>
    </row>
    <row r="175" spans="1:7" ht="19.5" customHeight="1" thickBot="1">
      <c r="A175" s="228"/>
      <c r="B175" s="228"/>
      <c r="C175" s="228"/>
      <c r="D175" s="228"/>
      <c r="E175" s="228"/>
      <c r="F175" s="227" t="s">
        <v>19</v>
      </c>
      <c r="G175" s="276">
        <f>SUM(G169:G174)</f>
        <v>0</v>
      </c>
    </row>
    <row r="176" spans="1:7" ht="19.5" customHeight="1" thickTop="1">
      <c r="A176" s="311"/>
      <c r="B176" s="311"/>
      <c r="C176" s="311"/>
      <c r="D176" s="311"/>
      <c r="E176" s="311"/>
      <c r="F176" s="264"/>
      <c r="G176" s="253"/>
    </row>
    <row r="177" spans="1:7" ht="19.5" customHeight="1">
      <c r="A177" s="228"/>
      <c r="B177" s="228"/>
      <c r="C177" s="228"/>
      <c r="D177" s="228"/>
      <c r="E177" s="228"/>
      <c r="F177" s="264"/>
      <c r="G177" s="253"/>
    </row>
    <row r="178" spans="1:7" ht="19.5" customHeight="1">
      <c r="A178" s="228"/>
      <c r="B178" s="228"/>
      <c r="C178" s="228"/>
      <c r="D178" s="228"/>
      <c r="E178" s="228"/>
      <c r="F178" s="264"/>
      <c r="G178" s="253"/>
    </row>
    <row r="179" spans="1:7" ht="19.5" customHeight="1">
      <c r="A179" s="311"/>
      <c r="B179" s="311"/>
      <c r="C179" s="311"/>
      <c r="D179" s="311"/>
      <c r="E179" s="311"/>
      <c r="F179" s="264"/>
      <c r="G179" s="253"/>
    </row>
    <row r="180" spans="1:7" ht="19.5" customHeight="1">
      <c r="A180" s="228"/>
      <c r="B180" s="228"/>
      <c r="C180" s="228"/>
      <c r="D180" s="228"/>
      <c r="E180" s="228"/>
      <c r="F180" s="227"/>
      <c r="G180" s="285"/>
    </row>
    <row r="181" spans="1:7" ht="19.5" customHeight="1">
      <c r="A181" s="228"/>
      <c r="B181" s="228"/>
      <c r="C181" s="228"/>
      <c r="D181" s="228"/>
      <c r="E181" s="228"/>
      <c r="F181" s="264"/>
      <c r="G181" s="253"/>
    </row>
    <row r="182" spans="1:7" ht="19.5" customHeight="1">
      <c r="A182" s="227"/>
      <c r="B182" s="227"/>
      <c r="C182" s="227"/>
      <c r="D182" s="227"/>
      <c r="E182" s="227"/>
      <c r="F182" s="227"/>
      <c r="G182" s="285"/>
    </row>
    <row r="183" spans="1:7" ht="19.5" customHeight="1">
      <c r="A183" s="229"/>
      <c r="B183" s="229"/>
      <c r="C183" s="229"/>
      <c r="F183" s="229"/>
      <c r="G183" s="229"/>
    </row>
    <row r="184" spans="1:7" ht="19.5" customHeight="1">
      <c r="A184" s="229"/>
      <c r="B184" s="229"/>
      <c r="C184" s="229"/>
      <c r="F184" s="229"/>
      <c r="G184" s="229"/>
    </row>
    <row r="185" spans="1:7" ht="19.5" customHeight="1">
      <c r="A185" s="229"/>
      <c r="B185" s="229"/>
      <c r="C185" s="229"/>
      <c r="F185" s="229"/>
      <c r="G185" s="229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70"/>
      <c r="B823" s="270"/>
      <c r="C823" s="270"/>
      <c r="D823" s="270"/>
      <c r="G823" s="272"/>
    </row>
    <row r="824" spans="1:7" ht="19.5" customHeight="1">
      <c r="A824" s="270"/>
      <c r="B824" s="270"/>
      <c r="C824" s="270"/>
      <c r="D824" s="270"/>
      <c r="G824" s="272"/>
    </row>
    <row r="825" spans="1:7" ht="19.5" customHeight="1">
      <c r="A825" s="270"/>
      <c r="B825" s="270"/>
      <c r="C825" s="270"/>
      <c r="D825" s="270"/>
      <c r="G825" s="272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</sheetData>
  <sheetProtection/>
  <mergeCells count="40">
    <mergeCell ref="A137:E137"/>
    <mergeCell ref="A179:E179"/>
    <mergeCell ref="A173:E173"/>
    <mergeCell ref="A171:D171"/>
    <mergeCell ref="A150:B150"/>
    <mergeCell ref="A165:G165"/>
    <mergeCell ref="A166:G166"/>
    <mergeCell ref="A151:D151"/>
    <mergeCell ref="A142:G142"/>
    <mergeCell ref="A147:D147"/>
    <mergeCell ref="A138:C138"/>
    <mergeCell ref="A130:G130"/>
    <mergeCell ref="A128:G128"/>
    <mergeCell ref="A153:G153"/>
    <mergeCell ref="A143:G143"/>
    <mergeCell ref="A176:E176"/>
    <mergeCell ref="A145:G145"/>
    <mergeCell ref="A167:G167"/>
    <mergeCell ref="A148:C148"/>
    <mergeCell ref="A144:G144"/>
    <mergeCell ref="E1:G1"/>
    <mergeCell ref="A2:G2"/>
    <mergeCell ref="A3:G3"/>
    <mergeCell ref="A4:D4"/>
    <mergeCell ref="E4:E7"/>
    <mergeCell ref="A170:D170"/>
    <mergeCell ref="A139:C139"/>
    <mergeCell ref="A140:C140"/>
    <mergeCell ref="A164:G164"/>
    <mergeCell ref="A154:G154"/>
    <mergeCell ref="A94:G94"/>
    <mergeCell ref="A97:G97"/>
    <mergeCell ref="A102:G102"/>
    <mergeCell ref="A133:B133"/>
    <mergeCell ref="A100:G100"/>
    <mergeCell ref="A95:G95"/>
    <mergeCell ref="A101:G101"/>
    <mergeCell ref="A129:G129"/>
    <mergeCell ref="A127:G127"/>
    <mergeCell ref="A132:D13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67">
      <selection activeCell="I76" sqref="I76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63</v>
      </c>
      <c r="B1" s="322"/>
      <c r="C1" s="322"/>
      <c r="D1" s="322"/>
      <c r="E1" s="322"/>
      <c r="F1" s="322"/>
    </row>
    <row r="2" spans="1:6" ht="18.75">
      <c r="A2" s="322" t="s">
        <v>409</v>
      </c>
      <c r="B2" s="322"/>
      <c r="C2" s="322"/>
      <c r="D2" s="322"/>
      <c r="E2" s="322"/>
      <c r="F2" s="322"/>
    </row>
    <row r="3" spans="1:6" ht="18.75">
      <c r="A3" s="322" t="s">
        <v>550</v>
      </c>
      <c r="B3" s="322"/>
      <c r="C3" s="322"/>
      <c r="D3" s="322"/>
      <c r="E3" s="322"/>
      <c r="F3" s="322"/>
    </row>
    <row r="4" spans="1:6" ht="18.75">
      <c r="A4" s="323"/>
      <c r="B4" s="323"/>
      <c r="C4" s="323"/>
      <c r="D4" s="323"/>
      <c r="E4" s="323"/>
      <c r="F4" s="323"/>
    </row>
    <row r="5" spans="1:6" ht="18.75">
      <c r="A5" s="324" t="s">
        <v>11</v>
      </c>
      <c r="B5" s="325"/>
      <c r="C5" s="326"/>
      <c r="D5" s="326"/>
      <c r="E5" s="326"/>
      <c r="F5" s="327"/>
    </row>
    <row r="6" spans="1:6" ht="18.75">
      <c r="A6" s="330" t="s">
        <v>24</v>
      </c>
      <c r="B6" s="328" t="s">
        <v>3</v>
      </c>
      <c r="C6" s="328" t="s">
        <v>22</v>
      </c>
      <c r="D6" s="328" t="s">
        <v>410</v>
      </c>
      <c r="E6" s="328" t="s">
        <v>37</v>
      </c>
      <c r="F6" s="99" t="s">
        <v>135</v>
      </c>
    </row>
    <row r="7" spans="1:6" ht="18.75">
      <c r="A7" s="330"/>
      <c r="B7" s="328"/>
      <c r="C7" s="328"/>
      <c r="D7" s="328"/>
      <c r="E7" s="328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336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0</v>
      </c>
      <c r="E10" s="49">
        <f>3851+10422+294281+1580+663+494</f>
        <v>311291</v>
      </c>
      <c r="F10" s="49">
        <f>E10-C10</f>
        <v>49591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1767.54</v>
      </c>
      <c r="E11" s="49">
        <f>112.14+13.35+19.58+15100.63+27914.85+25765.5+17231.29+12579.26+8134.6+3122.12+1767.54</f>
        <v>111760.85999999999</v>
      </c>
      <c r="F11" s="49">
        <f>E11-C11</f>
        <v>12760.859999999986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300</v>
      </c>
      <c r="E12" s="49">
        <f>400+9287+220+300</f>
        <v>10207</v>
      </c>
      <c r="F12" s="49">
        <f>E12-C12</f>
        <v>-2593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2067.54</v>
      </c>
      <c r="E13" s="103">
        <f>SUM(E10:E12)</f>
        <v>433258.86</v>
      </c>
      <c r="F13" s="103">
        <f>SUM(F10:F12)</f>
        <v>59758.859999999986</v>
      </c>
    </row>
    <row r="14" spans="1:6" ht="19.5" thickTop="1">
      <c r="A14" s="117" t="s">
        <v>42</v>
      </c>
      <c r="B14" s="98" t="s">
        <v>337</v>
      </c>
      <c r="C14" s="49"/>
      <c r="D14" s="49"/>
      <c r="E14" s="49"/>
      <c r="F14" s="49"/>
    </row>
    <row r="15" spans="1:6" ht="18.75">
      <c r="A15" s="212" t="s">
        <v>380</v>
      </c>
      <c r="B15" s="9" t="s">
        <v>381</v>
      </c>
      <c r="C15" s="49">
        <v>1300</v>
      </c>
      <c r="D15" s="49">
        <v>0</v>
      </c>
      <c r="E15" s="49">
        <f>659.6+310.4+77.6+38.8+19.4+19.4+19.4</f>
        <v>1144.6000000000001</v>
      </c>
      <c r="F15" s="49">
        <f>E15-C15</f>
        <v>-155.39999999999986</v>
      </c>
    </row>
    <row r="16" spans="1:6" ht="18.75">
      <c r="A16" s="115" t="s">
        <v>43</v>
      </c>
      <c r="B16" s="101">
        <v>412106</v>
      </c>
      <c r="C16" s="49">
        <v>1800</v>
      </c>
      <c r="D16" s="49">
        <v>0</v>
      </c>
      <c r="E16" s="49">
        <f>186+170+162+96+22142+201+41+1502+1014+35</f>
        <v>25549</v>
      </c>
      <c r="F16" s="49">
        <f aca="true" t="shared" si="0" ref="F16:F24">E16-C16</f>
        <v>23749</v>
      </c>
    </row>
    <row r="17" spans="1:6" ht="18.75">
      <c r="A17" s="115" t="s">
        <v>343</v>
      </c>
      <c r="B17" s="101">
        <v>412111</v>
      </c>
      <c r="C17" s="49">
        <v>50</v>
      </c>
      <c r="D17" s="182">
        <v>0</v>
      </c>
      <c r="E17" s="49">
        <f>20+40+10+1964</f>
        <v>2034</v>
      </c>
      <c r="F17" s="49">
        <f t="shared" si="0"/>
        <v>1984</v>
      </c>
    </row>
    <row r="18" spans="1:6" ht="18.75">
      <c r="A18" s="115" t="s">
        <v>77</v>
      </c>
      <c r="B18" s="101">
        <v>412128</v>
      </c>
      <c r="C18" s="49">
        <v>300</v>
      </c>
      <c r="D18" s="49">
        <v>70</v>
      </c>
      <c r="E18" s="49">
        <f>50+20+50+150+70</f>
        <v>340</v>
      </c>
      <c r="F18" s="49">
        <f t="shared" si="0"/>
        <v>40</v>
      </c>
    </row>
    <row r="19" spans="1:6" ht="18.75">
      <c r="A19" s="115" t="s">
        <v>129</v>
      </c>
      <c r="B19" s="5" t="s">
        <v>344</v>
      </c>
      <c r="C19" s="49">
        <v>82500</v>
      </c>
      <c r="D19" s="49">
        <v>4159</v>
      </c>
      <c r="E19" s="49">
        <f>4251+6102+4159</f>
        <v>14512</v>
      </c>
      <c r="F19" s="49">
        <f t="shared" si="0"/>
        <v>-67988</v>
      </c>
    </row>
    <row r="20" spans="1:6" ht="18.75">
      <c r="A20" s="115" t="s">
        <v>130</v>
      </c>
      <c r="B20" s="5" t="s">
        <v>345</v>
      </c>
      <c r="C20" s="49">
        <v>4000</v>
      </c>
      <c r="D20" s="182">
        <v>0</v>
      </c>
      <c r="E20" s="49">
        <f>1000+3000</f>
        <v>4000</v>
      </c>
      <c r="F20" s="49">
        <f t="shared" si="0"/>
        <v>0</v>
      </c>
    </row>
    <row r="21" spans="1:6" ht="18.75">
      <c r="A21" s="115" t="s">
        <v>346</v>
      </c>
      <c r="B21" s="5" t="s">
        <v>347</v>
      </c>
      <c r="C21" s="49">
        <v>60600</v>
      </c>
      <c r="D21" s="49">
        <v>0</v>
      </c>
      <c r="E21" s="49">
        <f>2800+5800+34100+440+10000</f>
        <v>53140</v>
      </c>
      <c r="F21" s="49">
        <f t="shared" si="0"/>
        <v>-7460</v>
      </c>
    </row>
    <row r="22" spans="1:6" ht="18.75">
      <c r="A22" s="115" t="s">
        <v>131</v>
      </c>
      <c r="B22" s="5" t="s">
        <v>348</v>
      </c>
      <c r="C22" s="49">
        <v>21900</v>
      </c>
      <c r="D22" s="49">
        <v>2140</v>
      </c>
      <c r="E22" s="49">
        <f>3360+2170+2020+1920+2120+2120+2120+2020+2020+2020+2140</f>
        <v>24030</v>
      </c>
      <c r="F22" s="49">
        <f t="shared" si="0"/>
        <v>2130</v>
      </c>
    </row>
    <row r="23" spans="1:6" ht="18.75">
      <c r="A23" s="115" t="s">
        <v>132</v>
      </c>
      <c r="B23" s="5" t="s">
        <v>349</v>
      </c>
      <c r="C23" s="49">
        <v>500</v>
      </c>
      <c r="D23" s="49">
        <v>0</v>
      </c>
      <c r="E23" s="49">
        <f>80+60+60+40+80+80+20+60+60+20</f>
        <v>560</v>
      </c>
      <c r="F23" s="49">
        <f t="shared" si="0"/>
        <v>60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6369</v>
      </c>
      <c r="E24" s="103">
        <f>SUM(E15:E23)</f>
        <v>125309.6</v>
      </c>
      <c r="F24" s="103">
        <f t="shared" si="0"/>
        <v>-47640.399999999994</v>
      </c>
    </row>
    <row r="25" spans="1:6" ht="19.5" thickTop="1">
      <c r="A25" s="118" t="s">
        <v>44</v>
      </c>
      <c r="B25" s="47" t="s">
        <v>338</v>
      </c>
      <c r="C25" s="49"/>
      <c r="D25" s="49"/>
      <c r="E25" s="49"/>
      <c r="F25" s="49"/>
    </row>
    <row r="26" spans="1:6" ht="18.75">
      <c r="A26" s="115" t="s">
        <v>45</v>
      </c>
      <c r="B26" s="5" t="s">
        <v>350</v>
      </c>
      <c r="C26" s="49">
        <v>200000</v>
      </c>
      <c r="D26" s="49">
        <v>7014.26</v>
      </c>
      <c r="E26" s="49">
        <f>5543.01+4002.89+50238.45+15920.24+3997.75+43495.89+5467.78+7085.38+21068.46+39059.53+7014.26</f>
        <v>202893.63999999998</v>
      </c>
      <c r="F26" s="49">
        <f>E26-C26</f>
        <v>2893.639999999985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7014.26</v>
      </c>
      <c r="E27" s="103">
        <f>SUM(E25:E26)</f>
        <v>202893.63999999998</v>
      </c>
      <c r="F27" s="103">
        <f>SUM(F26)</f>
        <v>2893.639999999985</v>
      </c>
    </row>
    <row r="28" spans="1:6" ht="19.5" thickTop="1">
      <c r="A28" s="118" t="s">
        <v>46</v>
      </c>
      <c r="B28" s="47" t="s">
        <v>339</v>
      </c>
      <c r="C28" s="49"/>
      <c r="D28" s="49"/>
      <c r="E28" s="49"/>
      <c r="F28" s="49"/>
    </row>
    <row r="29" spans="1:6" ht="18.75">
      <c r="A29" s="115" t="s">
        <v>47</v>
      </c>
      <c r="B29" s="5" t="s">
        <v>351</v>
      </c>
      <c r="C29" s="49">
        <v>50000</v>
      </c>
      <c r="D29" s="105">
        <v>0</v>
      </c>
      <c r="E29" s="49">
        <f>4500+1000+1000+400+300+1900</f>
        <v>9100</v>
      </c>
      <c r="F29" s="49">
        <f>E29-C29</f>
        <v>-40900</v>
      </c>
    </row>
    <row r="30" spans="1:6" ht="18.75">
      <c r="A30" s="115" t="s">
        <v>78</v>
      </c>
      <c r="B30" s="5" t="s">
        <v>352</v>
      </c>
      <c r="C30" s="49">
        <v>100</v>
      </c>
      <c r="D30" s="182">
        <v>100</v>
      </c>
      <c r="E30" s="49">
        <f>100</f>
        <v>100</v>
      </c>
      <c r="F30" s="49">
        <f>E30-C30</f>
        <v>0</v>
      </c>
    </row>
    <row r="31" spans="1:6" ht="18.75">
      <c r="A31" s="115" t="s">
        <v>79</v>
      </c>
      <c r="B31" s="5" t="s">
        <v>353</v>
      </c>
      <c r="C31" s="49">
        <v>700</v>
      </c>
      <c r="D31" s="105">
        <v>0</v>
      </c>
      <c r="E31" s="49">
        <f>300+200+200</f>
        <v>700</v>
      </c>
      <c r="F31" s="49">
        <f>E31-C31</f>
        <v>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100</v>
      </c>
      <c r="E32" s="103">
        <f>SUM(E29:E31)</f>
        <v>9900</v>
      </c>
      <c r="F32" s="103">
        <f>SUM(F29:F31)</f>
        <v>-40900</v>
      </c>
    </row>
    <row r="33" spans="1:6" ht="19.5" thickTop="1">
      <c r="A33" s="114" t="s">
        <v>76</v>
      </c>
      <c r="B33" s="47" t="s">
        <v>340</v>
      </c>
      <c r="C33" s="49"/>
      <c r="D33" s="49"/>
      <c r="E33" s="49"/>
      <c r="F33" s="49"/>
    </row>
    <row r="34" spans="1:6" ht="18.75">
      <c r="A34" s="115" t="s">
        <v>80</v>
      </c>
      <c r="B34" s="5" t="s">
        <v>354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31"/>
      <c r="B36" s="331"/>
      <c r="C36" s="331"/>
      <c r="D36" s="331"/>
      <c r="E36" s="331"/>
      <c r="F36" s="331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29" t="s">
        <v>53</v>
      </c>
      <c r="B42" s="329"/>
      <c r="C42" s="329"/>
      <c r="D42" s="329"/>
      <c r="E42" s="329"/>
      <c r="F42" s="329"/>
    </row>
    <row r="43" spans="1:6" ht="18.75">
      <c r="A43" s="324" t="s">
        <v>11</v>
      </c>
      <c r="B43" s="325"/>
      <c r="C43" s="326"/>
      <c r="D43" s="326"/>
      <c r="E43" s="326"/>
      <c r="F43" s="327"/>
    </row>
    <row r="44" spans="1:6" ht="18.75">
      <c r="A44" s="330" t="s">
        <v>24</v>
      </c>
      <c r="B44" s="328" t="s">
        <v>3</v>
      </c>
      <c r="C44" s="328" t="s">
        <v>22</v>
      </c>
      <c r="D44" s="328" t="s">
        <v>410</v>
      </c>
      <c r="E44" s="328" t="s">
        <v>37</v>
      </c>
      <c r="F44" s="99" t="s">
        <v>135</v>
      </c>
    </row>
    <row r="45" spans="1:6" ht="18.75">
      <c r="A45" s="330"/>
      <c r="B45" s="328"/>
      <c r="C45" s="328"/>
      <c r="D45" s="328"/>
      <c r="E45" s="328"/>
      <c r="F45" s="99" t="s">
        <v>22</v>
      </c>
    </row>
    <row r="46" spans="1:6" ht="18.75">
      <c r="A46" s="120" t="s">
        <v>81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383</v>
      </c>
      <c r="B48" s="104">
        <v>421001</v>
      </c>
      <c r="C48" s="49">
        <v>354700</v>
      </c>
      <c r="D48" s="49">
        <v>0</v>
      </c>
      <c r="E48" s="49">
        <f>98457.44+69655.27+78550.4+27068.07+74198.19</f>
        <v>347929.37</v>
      </c>
      <c r="F48" s="49">
        <f>E48-C48</f>
        <v>-6770.630000000005</v>
      </c>
    </row>
    <row r="49" spans="1:6" ht="18.75">
      <c r="A49" s="115" t="s">
        <v>382</v>
      </c>
      <c r="B49" s="101">
        <v>421002</v>
      </c>
      <c r="C49" s="49">
        <v>7296100</v>
      </c>
      <c r="D49" s="49">
        <v>639264.72</v>
      </c>
      <c r="E49" s="49">
        <f>625141.06+627754.13+636359.11+646579.19+714945.09+647607.01+1226031.51+1330652.33+639264.72</f>
        <v>7094334.149999999</v>
      </c>
      <c r="F49" s="49">
        <f>E49-C49</f>
        <v>-201765.85000000056</v>
      </c>
    </row>
    <row r="50" spans="1:6" ht="18.75">
      <c r="A50" s="115" t="s">
        <v>82</v>
      </c>
      <c r="B50" s="101">
        <v>421004</v>
      </c>
      <c r="C50" s="49">
        <v>2899800</v>
      </c>
      <c r="D50" s="49">
        <v>245663.07</v>
      </c>
      <c r="E50" s="49">
        <f>213214.03+246052.89+240434.46+239942+233669.41+263553.82+480361.02+272210.05+229596.1+245663.07</f>
        <v>2664696.85</v>
      </c>
      <c r="F50" s="49">
        <f aca="true" t="shared" si="1" ref="F50:F56">E50-C50</f>
        <v>-235103.1499999999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17895.86</v>
      </c>
      <c r="E51" s="49">
        <f>23718.64+43948.92+23962.62+42817.12+9136.29+17895.86</f>
        <v>161479.45</v>
      </c>
      <c r="F51" s="49">
        <f t="shared" si="1"/>
        <v>36479.45000000001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87682.68</v>
      </c>
      <c r="E52" s="49">
        <f>91128.26+103706.96+108409.87+132188.66+117873.9+128006.17+266032.65+120403.73+86075.49+87682.68</f>
        <v>1241508.37</v>
      </c>
      <c r="F52" s="49">
        <f t="shared" si="1"/>
        <v>141508.3700000001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243075.49</v>
      </c>
      <c r="E53" s="49">
        <f>196751.82+218532.97+203990.2+242247.73+283656.44+218443.51+501153.39+277920.11+244362.37+243075.49</f>
        <v>2630134.0300000003</v>
      </c>
      <c r="F53" s="49">
        <f t="shared" si="1"/>
        <v>830134.0300000003</v>
      </c>
    </row>
    <row r="54" spans="1:6" ht="18.75">
      <c r="A54" s="115" t="s">
        <v>83</v>
      </c>
      <c r="B54" s="101">
        <v>421012</v>
      </c>
      <c r="C54" s="49">
        <v>30000</v>
      </c>
      <c r="D54" s="182">
        <v>22547.59</v>
      </c>
      <c r="E54" s="49">
        <f>13638.48+18384.83+22547.59</f>
        <v>54570.9</v>
      </c>
      <c r="F54" s="49">
        <f t="shared" si="1"/>
        <v>24570.9</v>
      </c>
    </row>
    <row r="55" spans="1:6" ht="18.75">
      <c r="A55" s="115" t="s">
        <v>84</v>
      </c>
      <c r="B55" s="101">
        <v>421013</v>
      </c>
      <c r="C55" s="49">
        <v>70000</v>
      </c>
      <c r="D55" s="182">
        <v>9017.71</v>
      </c>
      <c r="E55" s="49">
        <f>13583.96+13176.12+10044.38+9017.71</f>
        <v>45822.17</v>
      </c>
      <c r="F55" s="49">
        <f t="shared" si="1"/>
        <v>-24177.83</v>
      </c>
    </row>
    <row r="56" spans="1:6" ht="18.75">
      <c r="A56" s="115" t="s">
        <v>133</v>
      </c>
      <c r="B56" s="101">
        <v>421015</v>
      </c>
      <c r="C56" s="49">
        <v>250000</v>
      </c>
      <c r="D56" s="49">
        <v>63381</v>
      </c>
      <c r="E56" s="49">
        <f>30356+71341+9577+62281+200487+48751+29210+15610+227134+63381</f>
        <v>758128</v>
      </c>
      <c r="F56" s="49">
        <f t="shared" si="1"/>
        <v>508128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1328528.12</v>
      </c>
      <c r="E57" s="103">
        <f>SUM(E48:E56)</f>
        <v>14998603.29</v>
      </c>
      <c r="F57" s="103">
        <f>SUM(F48:F56)</f>
        <v>1073003.29</v>
      </c>
    </row>
    <row r="58" spans="1:6" ht="19.5" thickTop="1">
      <c r="A58" s="121" t="s">
        <v>85</v>
      </c>
      <c r="B58" s="109">
        <v>430000</v>
      </c>
      <c r="C58" s="105"/>
      <c r="D58" s="105"/>
      <c r="E58" s="105"/>
      <c r="F58" s="105"/>
    </row>
    <row r="59" spans="1:6" ht="18.75">
      <c r="A59" s="114" t="s">
        <v>335</v>
      </c>
      <c r="B59" s="109">
        <v>431000</v>
      </c>
      <c r="C59" s="49"/>
      <c r="D59" s="49"/>
      <c r="E59" s="49"/>
      <c r="F59" s="49"/>
    </row>
    <row r="60" spans="1:6" ht="18.75">
      <c r="A60" s="115" t="s">
        <v>86</v>
      </c>
      <c r="B60" s="101">
        <v>431002</v>
      </c>
      <c r="C60" s="49">
        <v>8451200</v>
      </c>
      <c r="D60" s="49">
        <v>0</v>
      </c>
      <c r="E60" s="49">
        <f>2608471+2757832+953263+796737</f>
        <v>7116303</v>
      </c>
      <c r="F60" s="49">
        <f>E60-C60</f>
        <v>-1334897</v>
      </c>
    </row>
    <row r="61" spans="1:6" ht="18.75">
      <c r="A61" s="115" t="s">
        <v>87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0</v>
      </c>
      <c r="E62" s="103">
        <f>SUM(E60:E61)</f>
        <v>7116303</v>
      </c>
      <c r="F62" s="103">
        <f>SUM(F60:F61)</f>
        <v>-1334897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1344078.9200000002</v>
      </c>
      <c r="E63" s="110">
        <f>SUM(E13,E24,E27,E32,E57,E62,E35)</f>
        <v>22886613.39</v>
      </c>
      <c r="F63" s="110">
        <f>E63-C63</f>
        <v>-287936.6099999994</v>
      </c>
    </row>
    <row r="64" spans="1:6" ht="18.75">
      <c r="A64" s="121" t="s">
        <v>411</v>
      </c>
      <c r="B64" s="109">
        <v>440000</v>
      </c>
      <c r="C64" s="105"/>
      <c r="D64" s="105"/>
      <c r="E64" s="105"/>
      <c r="F64" s="105"/>
    </row>
    <row r="65" spans="1:6" ht="18.75">
      <c r="A65" s="114" t="s">
        <v>417</v>
      </c>
      <c r="B65" s="109">
        <v>441000</v>
      </c>
      <c r="C65" s="49"/>
      <c r="D65" s="49"/>
      <c r="E65" s="49"/>
      <c r="F65" s="49"/>
    </row>
    <row r="66" spans="1:6" ht="18.75">
      <c r="A66" s="115" t="s">
        <v>492</v>
      </c>
      <c r="B66" s="101">
        <v>441001</v>
      </c>
      <c r="C66" s="49">
        <f>48570+32380+65900+81314</f>
        <v>228164</v>
      </c>
      <c r="D66" s="49">
        <v>0</v>
      </c>
      <c r="E66" s="49">
        <f>48570+32380+65900+81314</f>
        <v>228164</v>
      </c>
      <c r="F66" s="49">
        <f>48570+32380+65900+81314</f>
        <v>228164</v>
      </c>
    </row>
    <row r="67" spans="1:6" ht="18.75">
      <c r="A67" s="115" t="s">
        <v>495</v>
      </c>
      <c r="B67" s="101">
        <v>441001</v>
      </c>
      <c r="C67" s="49">
        <f>27000+18000+36000</f>
        <v>81000</v>
      </c>
      <c r="D67" s="49">
        <v>0</v>
      </c>
      <c r="E67" s="49">
        <f>27000+18000+36000</f>
        <v>81000</v>
      </c>
      <c r="F67" s="49">
        <f>27000+18000+36000</f>
        <v>81000</v>
      </c>
    </row>
    <row r="68" spans="1:6" ht="18.75">
      <c r="A68" s="115" t="s">
        <v>494</v>
      </c>
      <c r="B68" s="101">
        <v>441001</v>
      </c>
      <c r="C68" s="49">
        <f>3000+2000+4000</f>
        <v>9000</v>
      </c>
      <c r="D68" s="49">
        <v>0</v>
      </c>
      <c r="E68" s="49">
        <f>3000+2000+4000</f>
        <v>9000</v>
      </c>
      <c r="F68" s="49">
        <f>3000+2000+4000</f>
        <v>9000</v>
      </c>
    </row>
    <row r="69" spans="1:6" ht="18.75">
      <c r="A69" s="115" t="s">
        <v>493</v>
      </c>
      <c r="B69" s="101">
        <v>441001</v>
      </c>
      <c r="C69" s="49">
        <f>1500+1000+2000</f>
        <v>4500</v>
      </c>
      <c r="D69" s="49">
        <v>0</v>
      </c>
      <c r="E69" s="49">
        <f>1500+1000+2000</f>
        <v>4500</v>
      </c>
      <c r="F69" s="49">
        <f>1500+1000+2000</f>
        <v>4500</v>
      </c>
    </row>
    <row r="70" spans="1:6" ht="18.75">
      <c r="A70" s="115" t="s">
        <v>496</v>
      </c>
      <c r="B70" s="101">
        <v>441001</v>
      </c>
      <c r="C70" s="49">
        <f>63700+91000</f>
        <v>154700</v>
      </c>
      <c r="D70" s="49">
        <v>0</v>
      </c>
      <c r="E70" s="49">
        <f>63700+91000</f>
        <v>154700</v>
      </c>
      <c r="F70" s="49">
        <f>63700+91000</f>
        <v>154700</v>
      </c>
    </row>
    <row r="71" spans="1:6" ht="18.75">
      <c r="A71" s="115" t="s">
        <v>497</v>
      </c>
      <c r="B71" s="101">
        <v>441001</v>
      </c>
      <c r="C71" s="49">
        <f>1868400+1245600+1214500+585000+2277100</f>
        <v>7190600</v>
      </c>
      <c r="D71" s="49">
        <v>0</v>
      </c>
      <c r="E71" s="49">
        <f>1868400+1245600+1214500+585000+2277100</f>
        <v>7190600</v>
      </c>
      <c r="F71" s="49">
        <f>1868400+1245600+1214500+585000+2277100</f>
        <v>7190600</v>
      </c>
    </row>
    <row r="72" spans="1:6" ht="18.75">
      <c r="A72" s="115" t="s">
        <v>498</v>
      </c>
      <c r="B72" s="101">
        <v>441001</v>
      </c>
      <c r="C72" s="49">
        <f>468000+468000+156000+144800+556000+24000+32000</f>
        <v>1848800</v>
      </c>
      <c r="D72" s="49">
        <v>32000</v>
      </c>
      <c r="E72" s="49">
        <f>468000+468000+156000+144800+556000+24000+32000</f>
        <v>1848800</v>
      </c>
      <c r="F72" s="49">
        <f>468000+468000+156000+144800+556000+24000+32000</f>
        <v>1848800</v>
      </c>
    </row>
    <row r="73" spans="1:6" ht="18.75">
      <c r="A73" s="115" t="s">
        <v>533</v>
      </c>
      <c r="B73" s="101">
        <v>441001</v>
      </c>
      <c r="C73" s="49">
        <v>1110000</v>
      </c>
      <c r="D73" s="49">
        <v>0</v>
      </c>
      <c r="E73" s="49">
        <v>1110000</v>
      </c>
      <c r="F73" s="49">
        <v>1110000</v>
      </c>
    </row>
    <row r="74" spans="1:6" ht="18.75">
      <c r="A74" s="115" t="s">
        <v>540</v>
      </c>
      <c r="B74" s="101">
        <v>441001</v>
      </c>
      <c r="C74" s="49">
        <v>546595</v>
      </c>
      <c r="D74" s="49"/>
      <c r="E74" s="49"/>
      <c r="F74" s="49">
        <v>-546595</v>
      </c>
    </row>
    <row r="75" spans="1:6" ht="18.75">
      <c r="A75" s="115" t="s">
        <v>541</v>
      </c>
      <c r="B75" s="101">
        <v>441001</v>
      </c>
      <c r="C75" s="49">
        <v>2671700</v>
      </c>
      <c r="D75" s="49"/>
      <c r="E75" s="49"/>
      <c r="F75" s="49">
        <v>-2671700</v>
      </c>
    </row>
    <row r="76" spans="1:6" ht="18.75">
      <c r="A76" s="115" t="s">
        <v>542</v>
      </c>
      <c r="B76" s="101"/>
      <c r="C76" s="49"/>
      <c r="D76" s="49"/>
      <c r="E76" s="49"/>
      <c r="F76" s="49"/>
    </row>
    <row r="77" spans="1:6" ht="18.75">
      <c r="A77" s="115"/>
      <c r="B77" s="101"/>
      <c r="C77" s="49"/>
      <c r="D77" s="49"/>
      <c r="E77" s="49"/>
      <c r="F77" s="49"/>
    </row>
    <row r="78" spans="1:6" ht="19.5" thickBot="1">
      <c r="A78" s="282" t="s">
        <v>19</v>
      </c>
      <c r="B78" s="101"/>
      <c r="C78" s="103">
        <f>SUM(C66:C77)</f>
        <v>13845059</v>
      </c>
      <c r="D78" s="103">
        <f>SUM(D66:D77)</f>
        <v>32000</v>
      </c>
      <c r="E78" s="103">
        <f>SUM(E66:E77)</f>
        <v>10626764</v>
      </c>
      <c r="F78" s="103">
        <f>SUM(F66:F77)</f>
        <v>7408469</v>
      </c>
    </row>
    <row r="79" spans="1:6" ht="20.25" thickBot="1" thickTop="1">
      <c r="A79" s="116" t="s">
        <v>460</v>
      </c>
      <c r="B79" s="101"/>
      <c r="C79" s="103">
        <f>SUM(C63+C78)</f>
        <v>37019609</v>
      </c>
      <c r="D79" s="103">
        <f>SUM(D63+D78)</f>
        <v>1376078.9200000002</v>
      </c>
      <c r="E79" s="103">
        <f>SUM(E63+E78)</f>
        <v>33513377.39</v>
      </c>
      <c r="F79" s="103">
        <f>SUM(F63+F78)</f>
        <v>7120532.390000001</v>
      </c>
    </row>
    <row r="80" spans="1:6" ht="19.5" thickTop="1">
      <c r="A80" s="116" t="s">
        <v>52</v>
      </c>
      <c r="B80" s="101"/>
      <c r="C80" s="110">
        <f>SUM(C79)</f>
        <v>37019609</v>
      </c>
      <c r="D80" s="110">
        <f>SUM(D79)</f>
        <v>1376078.9200000002</v>
      </c>
      <c r="E80" s="110">
        <f>SUM(E79)</f>
        <v>33513377.39</v>
      </c>
      <c r="F80" s="110">
        <f>SUM(D80:E80)</f>
        <v>34889456.31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585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122</v>
      </c>
      <c r="B6" s="19">
        <v>1376078.92</v>
      </c>
      <c r="C6" s="19">
        <f>1183956.28+6387483.83+2955943.67+3619366.22+1434674.06+1972494.68+3229025.36-3180.21+4512893.51+3604259.25+3240381.82+1376078.92</f>
        <v>33513377.39</v>
      </c>
    </row>
    <row r="7" spans="1:3" ht="18" customHeight="1">
      <c r="A7" s="20" t="s">
        <v>545</v>
      </c>
      <c r="B7" s="19">
        <v>287357.38</v>
      </c>
      <c r="C7" s="19">
        <f>22540.91+277870.57+205869.41+17560.93+22674.49+412707.76+266319.49+328251.35+241763.16+309175.99+287357.38</f>
        <v>2392091.44</v>
      </c>
    </row>
    <row r="8" spans="1:3" ht="18" customHeight="1">
      <c r="A8" s="20" t="s">
        <v>385</v>
      </c>
      <c r="B8" s="19">
        <v>65096.62</v>
      </c>
      <c r="C8" s="19">
        <f>3381491.48+582942.08+790119.69+28422.25+65096.62</f>
        <v>4848072.12</v>
      </c>
    </row>
    <row r="9" spans="1:3" ht="18" customHeight="1">
      <c r="A9" s="20" t="s">
        <v>481</v>
      </c>
      <c r="B9" s="19">
        <v>0</v>
      </c>
      <c r="C9" s="19">
        <f>2114300+557800+561600</f>
        <v>3233700</v>
      </c>
    </row>
    <row r="10" spans="1:3" ht="18" customHeight="1">
      <c r="A10" s="20" t="s">
        <v>472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1728532.92</v>
      </c>
      <c r="C11" s="23">
        <f>SUM(C6:C10)</f>
        <v>43996690.949999996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386</v>
      </c>
      <c r="B13" s="15">
        <v>3604401.73</v>
      </c>
      <c r="C13" s="19">
        <f>15213361.82+4095232.84+2167436.72+2682736.21+3604401.73</f>
        <v>27763169.32</v>
      </c>
    </row>
    <row r="14" spans="1:3" ht="18" customHeight="1">
      <c r="A14" s="20" t="s">
        <v>387</v>
      </c>
      <c r="B14" s="15">
        <v>9800</v>
      </c>
      <c r="C14" s="19">
        <f>3449450+500+582700+797100+28400+9800</f>
        <v>4867950</v>
      </c>
    </row>
    <row r="15" spans="1:3" ht="18" customHeight="1">
      <c r="A15" s="20" t="s">
        <v>60</v>
      </c>
      <c r="B15" s="19">
        <v>333764.54</v>
      </c>
      <c r="C15" s="19">
        <f>231482.61+22255.07+286867.84+28084.4+61655.14+279583.74+267815.56+301388.69+257186.45+286777.36+333764.54</f>
        <v>2356861.4</v>
      </c>
    </row>
    <row r="16" spans="1:3" ht="18" customHeight="1">
      <c r="A16" s="20" t="s">
        <v>521</v>
      </c>
      <c r="B16" s="19">
        <v>0</v>
      </c>
      <c r="C16" s="19">
        <f>964000+448800+815000+764200+407100+488000+451700+497700</f>
        <v>4836500</v>
      </c>
    </row>
    <row r="17" spans="1:3" ht="18" customHeight="1">
      <c r="A17" s="20" t="s">
        <v>123</v>
      </c>
      <c r="B17" s="19">
        <v>0</v>
      </c>
      <c r="C17" s="19">
        <f>399873.04+193068</f>
        <v>592941.04</v>
      </c>
    </row>
    <row r="18" spans="1:3" ht="18" customHeight="1">
      <c r="A18" s="20" t="s">
        <v>499</v>
      </c>
      <c r="B18" s="19">
        <v>0</v>
      </c>
      <c r="C18" s="19">
        <f>1569410+544890+557800+561600</f>
        <v>3233700</v>
      </c>
    </row>
    <row r="19" spans="1:3" ht="18" customHeight="1" thickBot="1">
      <c r="A19" s="21" t="s">
        <v>19</v>
      </c>
      <c r="B19" s="23">
        <f>SUM(B13:B18)</f>
        <v>3947966.27</v>
      </c>
      <c r="C19" s="23">
        <f>SUM(C13:C18)</f>
        <v>43651121.76</v>
      </c>
    </row>
    <row r="20" spans="1:3" ht="18" customHeight="1" thickBot="1" thickTop="1">
      <c r="A20" s="21" t="s">
        <v>61</v>
      </c>
      <c r="B20" s="23">
        <f>B11-B19</f>
        <v>-2219433.35</v>
      </c>
      <c r="C20" s="23">
        <f>C11-C19</f>
        <v>345569.1899999976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62</v>
      </c>
      <c r="B29" s="332"/>
      <c r="C29" s="332"/>
    </row>
    <row r="30" spans="1:3" ht="18" customHeight="1">
      <c r="A30" s="332" t="s">
        <v>90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124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240939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22">
      <selection activeCell="A3" sqref="A3:F3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36" t="s">
        <v>63</v>
      </c>
      <c r="B2" s="336"/>
      <c r="C2" s="336"/>
      <c r="D2" s="336"/>
      <c r="E2" s="336"/>
      <c r="F2" s="336"/>
      <c r="G2" s="335" t="s">
        <v>64</v>
      </c>
      <c r="H2" s="336"/>
      <c r="I2" s="336"/>
      <c r="J2" s="336"/>
    </row>
    <row r="3" spans="1:10" ht="23.25">
      <c r="A3" s="336" t="s">
        <v>65</v>
      </c>
      <c r="B3" s="336"/>
      <c r="C3" s="336"/>
      <c r="D3" s="336"/>
      <c r="E3" s="336"/>
      <c r="F3" s="336"/>
      <c r="G3" s="335" t="s">
        <v>88</v>
      </c>
      <c r="H3" s="336"/>
      <c r="I3" s="336"/>
      <c r="J3" s="336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37" t="s">
        <v>563</v>
      </c>
      <c r="B5" s="337"/>
      <c r="C5" s="337"/>
      <c r="D5" s="337"/>
      <c r="E5" s="337"/>
      <c r="F5" s="338"/>
      <c r="G5" s="30"/>
      <c r="H5" s="30"/>
      <c r="I5" s="30"/>
      <c r="J5" s="31">
        <v>9796166.82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3" t="s">
        <v>66</v>
      </c>
      <c r="B7" s="343"/>
      <c r="C7" s="343"/>
      <c r="D7" s="343"/>
      <c r="E7" s="343"/>
      <c r="F7" s="33"/>
      <c r="G7" s="30"/>
      <c r="H7" s="30"/>
      <c r="I7" s="30"/>
      <c r="J7" s="31"/>
    </row>
    <row r="8" spans="1:10" ht="23.25">
      <c r="A8" s="55" t="s">
        <v>67</v>
      </c>
      <c r="B8" s="34"/>
      <c r="C8" s="55" t="s">
        <v>68</v>
      </c>
      <c r="D8" s="34"/>
      <c r="E8" s="34"/>
      <c r="F8" s="35" t="s">
        <v>69</v>
      </c>
      <c r="G8" s="30"/>
      <c r="H8" s="30"/>
      <c r="I8" s="30"/>
      <c r="J8" s="31"/>
    </row>
    <row r="9" spans="1:10" ht="23.25">
      <c r="A9" s="55" t="s">
        <v>576</v>
      </c>
      <c r="B9" s="34"/>
      <c r="C9" s="55" t="s">
        <v>577</v>
      </c>
      <c r="D9" s="34"/>
      <c r="E9" s="34"/>
      <c r="F9" s="35">
        <v>7500</v>
      </c>
      <c r="G9" s="30"/>
      <c r="H9" s="30"/>
      <c r="I9" s="30"/>
      <c r="J9" s="31"/>
    </row>
    <row r="10" spans="1:10" ht="23.25">
      <c r="A10" s="55" t="s">
        <v>564</v>
      </c>
      <c r="B10" s="34"/>
      <c r="C10" s="55" t="s">
        <v>565</v>
      </c>
      <c r="D10" s="34"/>
      <c r="E10" s="34"/>
      <c r="F10" s="35">
        <v>180</v>
      </c>
      <c r="G10" s="30"/>
      <c r="H10" s="30"/>
      <c r="I10" s="30"/>
      <c r="J10" s="31"/>
    </row>
    <row r="11" spans="1:10" ht="23.25">
      <c r="A11" s="55" t="s">
        <v>578</v>
      </c>
      <c r="B11" s="34"/>
      <c r="C11" s="55" t="s">
        <v>579</v>
      </c>
      <c r="D11" s="34"/>
      <c r="E11" s="34"/>
      <c r="F11" s="35">
        <v>1150</v>
      </c>
      <c r="G11" s="30"/>
      <c r="H11" s="30"/>
      <c r="I11" s="30"/>
      <c r="J11" s="31"/>
    </row>
    <row r="12" spans="1:10" ht="23.25">
      <c r="A12" s="55" t="s">
        <v>566</v>
      </c>
      <c r="B12" s="34"/>
      <c r="C12" s="55" t="s">
        <v>567</v>
      </c>
      <c r="D12" s="34"/>
      <c r="E12" s="34"/>
      <c r="F12" s="35">
        <v>6450</v>
      </c>
      <c r="G12" s="30"/>
      <c r="H12" s="30"/>
      <c r="I12" s="30"/>
      <c r="J12" s="31"/>
    </row>
    <row r="13" spans="1:10" ht="23.25">
      <c r="A13" s="55" t="s">
        <v>568</v>
      </c>
      <c r="B13" s="34"/>
      <c r="C13" s="55" t="s">
        <v>569</v>
      </c>
      <c r="D13" s="34"/>
      <c r="E13" s="34"/>
      <c r="F13" s="35">
        <v>14206.5</v>
      </c>
      <c r="G13" s="30"/>
      <c r="H13" s="30"/>
      <c r="I13" s="30"/>
      <c r="J13" s="31"/>
    </row>
    <row r="14" spans="1:10" ht="23.25">
      <c r="A14" s="55" t="s">
        <v>570</v>
      </c>
      <c r="B14" s="34"/>
      <c r="C14" s="55" t="s">
        <v>571</v>
      </c>
      <c r="D14" s="54"/>
      <c r="E14" s="34"/>
      <c r="F14" s="36">
        <v>2580</v>
      </c>
      <c r="G14" s="30"/>
      <c r="H14" s="30"/>
      <c r="I14" s="30"/>
      <c r="J14" s="37"/>
    </row>
    <row r="15" spans="1:10" ht="23.25">
      <c r="A15" s="55"/>
      <c r="B15" s="34"/>
      <c r="C15" s="55" t="s">
        <v>572</v>
      </c>
      <c r="D15" s="34"/>
      <c r="E15" s="34"/>
      <c r="F15" s="36">
        <v>6000</v>
      </c>
      <c r="G15" s="30"/>
      <c r="H15" s="30"/>
      <c r="I15" s="30"/>
      <c r="J15" s="31"/>
    </row>
    <row r="16" spans="1:10" ht="23.25">
      <c r="A16" s="55"/>
      <c r="B16" s="34"/>
      <c r="C16" s="55" t="s">
        <v>573</v>
      </c>
      <c r="D16" s="34"/>
      <c r="E16" s="34"/>
      <c r="F16" s="36">
        <v>8098.4</v>
      </c>
      <c r="G16" s="30"/>
      <c r="H16" s="30"/>
      <c r="I16" s="30"/>
      <c r="J16" s="31"/>
    </row>
    <row r="17" spans="1:10" ht="23.25">
      <c r="A17" s="55"/>
      <c r="B17" s="34"/>
      <c r="C17" s="55" t="s">
        <v>574</v>
      </c>
      <c r="D17" s="34"/>
      <c r="E17" s="34"/>
      <c r="F17" s="36">
        <v>297193.52</v>
      </c>
      <c r="G17" s="30"/>
      <c r="H17" s="30"/>
      <c r="I17" s="30"/>
      <c r="J17" s="31"/>
    </row>
    <row r="18" spans="1:10" ht="23.25">
      <c r="A18" s="55" t="s">
        <v>575</v>
      </c>
      <c r="B18" s="34"/>
      <c r="C18" s="34">
        <v>18021509</v>
      </c>
      <c r="D18" s="34"/>
      <c r="E18" s="34"/>
      <c r="F18" s="36">
        <v>17562.21</v>
      </c>
      <c r="G18" s="30"/>
      <c r="H18" s="30"/>
      <c r="I18" s="30"/>
      <c r="J18" s="31">
        <v>360920.63</v>
      </c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55"/>
      <c r="B21" s="34"/>
      <c r="C21" s="55"/>
      <c r="D21" s="34"/>
      <c r="E21" s="34"/>
      <c r="F21" s="36"/>
      <c r="G21" s="30"/>
      <c r="H21" s="30"/>
      <c r="I21" s="30"/>
      <c r="J21" s="31"/>
    </row>
    <row r="22" spans="1:10" ht="23.25">
      <c r="A22" s="347"/>
      <c r="B22" s="347"/>
      <c r="C22" s="347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278"/>
      <c r="C23" s="278"/>
      <c r="D23" s="34"/>
      <c r="E23" s="34"/>
      <c r="F23" s="36"/>
      <c r="G23" s="30"/>
      <c r="H23" s="30"/>
      <c r="I23" s="30"/>
      <c r="J23" s="31"/>
    </row>
    <row r="24" spans="1:10" ht="23.25">
      <c r="A24" s="55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54"/>
      <c r="B25" s="34"/>
      <c r="C25" s="55"/>
      <c r="D25" s="34"/>
      <c r="E25" s="34"/>
      <c r="F25" s="36"/>
      <c r="G25" s="30"/>
      <c r="H25" s="30"/>
      <c r="I25" s="30"/>
      <c r="J25" s="31"/>
    </row>
    <row r="26" spans="1:10" ht="23.25">
      <c r="A26" s="339" t="s">
        <v>580</v>
      </c>
      <c r="B26" s="339"/>
      <c r="C26" s="339"/>
      <c r="D26" s="339"/>
      <c r="E26" s="339"/>
      <c r="F26" s="340"/>
      <c r="G26" s="30"/>
      <c r="H26" s="30"/>
      <c r="I26" s="30"/>
      <c r="J26" s="31">
        <f>SUM(J5-J18)</f>
        <v>9435246.19</v>
      </c>
    </row>
    <row r="27" spans="1:10" ht="23.25">
      <c r="A27" s="54"/>
      <c r="B27" s="34"/>
      <c r="C27" s="54"/>
      <c r="D27" s="34"/>
      <c r="E27" s="34"/>
      <c r="F27" s="38"/>
      <c r="G27" s="30"/>
      <c r="H27" s="30"/>
      <c r="I27" s="30"/>
      <c r="J27" s="31" t="s">
        <v>252</v>
      </c>
    </row>
    <row r="28" spans="1:10" ht="23.25">
      <c r="A28" s="56" t="s">
        <v>70</v>
      </c>
      <c r="B28" s="39"/>
      <c r="C28" s="56"/>
      <c r="D28" s="39"/>
      <c r="E28" s="39"/>
      <c r="F28" s="40"/>
      <c r="G28" s="346" t="s">
        <v>71</v>
      </c>
      <c r="H28" s="337"/>
      <c r="I28" s="337"/>
      <c r="J28" s="337"/>
    </row>
    <row r="29" spans="1:10" ht="23.25">
      <c r="A29" s="53"/>
      <c r="B29" s="32"/>
      <c r="C29" s="53"/>
      <c r="D29" s="32"/>
      <c r="E29" s="32"/>
      <c r="F29" s="36"/>
      <c r="G29" s="32"/>
      <c r="H29" s="32"/>
      <c r="I29" s="32"/>
      <c r="J29" s="32"/>
    </row>
    <row r="30" spans="1:10" ht="23.25">
      <c r="A30" s="344" t="s">
        <v>581</v>
      </c>
      <c r="B30" s="344"/>
      <c r="C30" s="344"/>
      <c r="D30" s="344"/>
      <c r="E30" s="344"/>
      <c r="F30" s="345"/>
      <c r="G30" s="342" t="s">
        <v>582</v>
      </c>
      <c r="H30" s="341"/>
      <c r="I30" s="341"/>
      <c r="J30" s="341"/>
    </row>
    <row r="31" spans="1:10" ht="23.25">
      <c r="A31" s="341" t="s">
        <v>583</v>
      </c>
      <c r="B31" s="341"/>
      <c r="C31" s="341"/>
      <c r="D31" s="341"/>
      <c r="E31" s="32"/>
      <c r="F31" s="36"/>
      <c r="G31" s="342" t="s">
        <v>501</v>
      </c>
      <c r="H31" s="341"/>
      <c r="I31" s="341"/>
      <c r="J31" s="341"/>
    </row>
    <row r="32" spans="1:10" ht="23.25">
      <c r="A32" s="57"/>
      <c r="B32" s="41"/>
      <c r="C32" s="57"/>
      <c r="D32" s="41"/>
      <c r="E32" s="41"/>
      <c r="F32" s="38"/>
      <c r="G32" s="42"/>
      <c r="H32" s="42"/>
      <c r="I32" s="42"/>
      <c r="J32" s="43"/>
    </row>
  </sheetData>
  <sheetProtection/>
  <mergeCells count="13">
    <mergeCell ref="A31:D31"/>
    <mergeCell ref="G31:J31"/>
    <mergeCell ref="A7:E7"/>
    <mergeCell ref="A30:F30"/>
    <mergeCell ref="G30:J30"/>
    <mergeCell ref="G28:J28"/>
    <mergeCell ref="A22:C22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2016-09-12T02:48:36Z</cp:lastPrinted>
  <dcterms:created xsi:type="dcterms:W3CDTF">1996-10-14T23:33:28Z</dcterms:created>
  <dcterms:modified xsi:type="dcterms:W3CDTF">2016-09-12T02:48:41Z</dcterms:modified>
  <cp:category/>
  <cp:version/>
  <cp:contentType/>
  <cp:contentStatus/>
</cp:coreProperties>
</file>