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0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กรุงไทย" sheetId="9" r:id="rId9"/>
    <sheet name="กระทบยอดเงินฝากธ ธกส" sheetId="10" r:id="rId10"/>
    <sheet name="คงเหลือแบบใหม่" sheetId="11" r:id="rId11"/>
    <sheet name="โอนลดโอนเพิ่ม" sheetId="12" r:id="rId12"/>
    <sheet name="เงินสะสม" sheetId="13" r:id="rId13"/>
    <sheet name="จ่ายจากรายรับแบบใหม่" sheetId="14" r:id="rId14"/>
    <sheet name="จ่ายจากเงินอุดหนุนระบุวัตถุฯ" sheetId="15" r:id="rId15"/>
    <sheet name="Sheet2" sheetId="16" r:id="rId16"/>
  </sheets>
  <definedNames>
    <definedName name="_xlnm.Print_Area" localSheetId="0">'งบทดลอง'!$A$1:$D$78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<sst xmlns="http://schemas.openxmlformats.org/spreadsheetml/2006/main" count="1598" uniqueCount="574">
  <si>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</si>
  <si>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</si>
  <si>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</si>
  <si>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</si>
  <si>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</si>
  <si>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</si>
  <si>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</si>
  <si>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</si>
  <si>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</si>
  <si>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</si>
  <si>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</si>
  <si>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</si>
  <si>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</si>
  <si>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</si>
  <si>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</si>
  <si>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</si>
  <si>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</si>
  <si>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</si>
  <si>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</si>
  <si>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</si>
  <si>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</si>
  <si>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</si>
  <si>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</si>
  <si>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</si>
  <si>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</si>
  <si>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</si>
  <si>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</si>
  <si>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</si>
  <si>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</si>
  <si>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</si>
  <si>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</si>
  <si>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</si>
  <si>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</si>
  <si>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</si>
  <si>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</si>
  <si>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</si>
  <si>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</si>
  <si>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</si>
  <si>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</si>
  <si>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</si>
  <si>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</si>
  <si>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</si>
  <si>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</si>
  <si>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</si>
  <si>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</si>
  <si>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</si>
  <si>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</si>
  <si>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</si>
  <si>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</si>
  <si>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</si>
  <si>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</si>
  <si>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</si>
  <si>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</si>
  <si>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</si>
  <si>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</si>
  <si>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</si>
  <si>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</si>
  <si>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</si>
  <si>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</si>
  <si>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</si>
  <si>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</si>
  <si>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</si>
  <si>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</si>
  <si>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</si>
  <si>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</si>
  <si>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</si>
  <si>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</si>
  <si>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</si>
  <si>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</si>
  <si>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</si>
  <si>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</si>
  <si>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</si>
  <si>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</si>
  <si>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</si>
  <si>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</si>
  <si>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</si>
  <si>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</si>
  <si>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</si>
  <si>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</si>
  <si>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</si>
  <si>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</si>
  <si>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</si>
  <si>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</si>
  <si>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</si>
  <si>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</si>
  <si>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</si>
  <si>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</si>
  <si>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</si>
  <si>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</si>
  <si>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</si>
  <si>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</si>
  <si>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</si>
  <si>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</si>
  <si>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</si>
  <si>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</si>
  <si>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</si>
  <si>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</si>
  <si>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</si>
  <si>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</si>
  <si>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</si>
  <si>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</si>
  <si>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</si>
  <si>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</si>
  <si>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</si>
  <si>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</si>
  <si>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</si>
  <si>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</si>
  <si>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</si>
  <si>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</si>
  <si>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</si>
  <si>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</si>
  <si>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</si>
  <si>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</si>
  <si>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</si>
  <si>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</si>
  <si>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</si>
  <si>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</si>
  <si>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</si>
  <si>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</si>
  <si>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</si>
  <si>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</si>
  <si>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</si>
  <si>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</si>
  <si>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</si>
  <si>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</si>
  <si>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</si>
  <si>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</si>
  <si>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</si>
  <si>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</si>
  <si>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</si>
  <si>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</si>
  <si>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</si>
  <si>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</si>
  <si>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</si>
  <si>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</si>
  <si>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</si>
  <si>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</si>
  <si>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</si>
  <si>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</si>
  <si>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</si>
  <si>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</si>
  <si>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</si>
  <si>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</si>
  <si>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</si>
  <si>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</si>
  <si>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</si>
  <si>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</si>
  <si>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</si>
  <si>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</si>
  <si>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</si>
  <si>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</si>
  <si>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</si>
  <si>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</si>
  <si>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</si>
  <si>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</si>
  <si>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</si>
  <si>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</si>
  <si>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</si>
  <si>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</si>
  <si>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</si>
  <si>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</si>
  <si>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</si>
  <si>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</si>
  <si>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</si>
  <si>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</si>
  <si>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</si>
  <si>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</si>
  <si>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</si>
  <si>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</si>
  <si>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</si>
  <si>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</si>
  <si>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</si>
  <si>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</si>
  <si>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</si>
  <si>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</si>
  <si>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</si>
  <si>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</si>
  <si>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</si>
  <si>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</si>
  <si>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</si>
  <si>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</si>
  <si>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</si>
  <si>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</si>
  <si>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</si>
  <si>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</si>
  <si>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</si>
  <si>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</si>
  <si>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</si>
  <si>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</si>
  <si>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</si>
  <si>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</si>
  <si>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</si>
  <si>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</si>
  <si>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</si>
  <si>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</si>
  <si>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</si>
  <si>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</si>
  <si>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</si>
  <si>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</si>
  <si>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</si>
  <si>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</si>
  <si>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</si>
  <si>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</si>
  <si>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</si>
  <si>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</si>
  <si>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</si>
  <si>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</si>
  <si>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</si>
  <si>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</si>
  <si>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</si>
  <si>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</si>
  <si>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</si>
  <si>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</si>
  <si>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</si>
  <si>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</si>
  <si>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</si>
  <si>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</si>
  <si>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</si>
  <si>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</si>
  <si>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</si>
  <si>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</si>
  <si>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</si>
  <si>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</si>
  <si>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</si>
  <si>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</si>
  <si>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</si>
  <si>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</si>
  <si>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</si>
  <si>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</si>
  <si>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</si>
  <si>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</si>
  <si>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</si>
  <si>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</si>
  <si>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</si>
  <si>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</si>
  <si>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</si>
  <si>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</si>
  <si>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</si>
  <si>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</si>
  <si>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</si>
  <si>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</si>
  <si>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</si>
  <si>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</si>
  <si>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</si>
  <si>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</si>
  <si>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</si>
  <si>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</si>
  <si>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</si>
  <si>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</si>
  <si>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</si>
  <si>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</si>
  <si>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</si>
  <si>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</si>
  <si>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</si>
  <si>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</si>
  <si>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</si>
  <si>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</si>
  <si>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</si>
  <si>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</si>
  <si>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</si>
  <si>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</si>
  <si>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</si>
  <si>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</si>
  <si>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</si>
  <si>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</si>
  <si>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</si>
  <si>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</si>
  <si>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</si>
  <si>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</si>
  <si>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</si>
  <si>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</si>
  <si>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</si>
  <si>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</si>
  <si>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</si>
  <si>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</si>
  <si>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</si>
  <si>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</si>
  <si>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</si>
  <si>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</si>
  <si>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</si>
  <si>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</si>
  <si>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</si>
  <si>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</si>
  <si>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</si>
  <si>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</si>
  <si>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</si>
  <si>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</si>
  <si>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</si>
  <si>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</si>
  <si>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</si>
  <si>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</si>
  <si>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</si>
  <si>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</si>
  <si>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</si>
  <si>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</si>
  <si>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</si>
  <si>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</si>
  <si>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</si>
  <si>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</si>
  <si>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</si>
  <si>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</si>
  <si>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</si>
  <si>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</si>
  <si>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</si>
  <si>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</si>
  <si>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</si>
  <si>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</si>
  <si>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</si>
  <si>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</si>
  <si>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</si>
  <si>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</si>
  <si>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</si>
  <si>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</si>
  <si>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</si>
  <si>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</si>
  <si>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</si>
  <si>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</si>
  <si>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</si>
  <si>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</si>
  <si>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</si>
  <si>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</si>
  <si>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</si>
  <si>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</si>
  <si>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</si>
  <si>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</si>
  <si>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</si>
  <si>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</si>
  <si>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</si>
  <si>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</si>
  <si>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</si>
  <si>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</si>
  <si>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</si>
  <si>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</si>
  <si>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</si>
  <si>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</si>
  <si>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</si>
  <si>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</si>
  <si>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</si>
  <si>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</si>
  <si>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</si>
  <si>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</si>
  <si>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</si>
  <si>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</si>
  <si>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</si>
  <si>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</si>
  <si>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</si>
  <si>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</si>
  <si>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</si>
  <si>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</si>
  <si>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</si>
  <si>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</si>
  <si>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</si>
  <si>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</si>
  <si>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</si>
  <si>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</si>
  <si>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</si>
  <si>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</si>
  <si>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</si>
  <si>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</si>
  <si>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</si>
  <si>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</si>
  <si>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</si>
  <si>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</si>
  <si>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</si>
  <si>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</si>
  <si>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</si>
  <si>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</si>
  <si>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</si>
  <si>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</si>
  <si>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</si>
  <si>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</si>
  <si>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</si>
  <si>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</si>
  <si>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</si>
  <si>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</si>
  <si>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</si>
  <si>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</si>
  <si>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</si>
  <si>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</si>
  <si>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</si>
  <si>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</si>
  <si>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</si>
  <si>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</si>
  <si>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</si>
  <si>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</si>
  <si>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</si>
  <si>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</si>
  <si>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</si>
  <si>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</si>
  <si>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</si>
  <si>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</si>
  <si>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</si>
  <si>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</si>
  <si>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</si>
  <si>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</si>
  <si>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</si>
  <si>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</si>
  <si>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</si>
  <si>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</si>
  <si>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</si>
  <si>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</si>
  <si>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</si>
  <si>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</si>
  <si>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</si>
  <si>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</si>
  <si>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</si>
  <si>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</si>
  <si>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</si>
  <si>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</si>
  <si>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</si>
  <si>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</si>
  <si>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</si>
  <si>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</si>
  <si>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</si>
  <si>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</si>
  <si>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</si>
  <si>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</si>
  <si>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</si>
  <si>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</si>
  <si>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</si>
  <si>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</si>
  <si>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</si>
  <si>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</si>
  <si>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</si>
  <si>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</si>
  <si>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</si>
  <si>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</si>
  <si>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</si>
  <si>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</si>
  <si>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</si>
  <si>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</si>
  <si>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</si>
  <si>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</si>
  <si>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</si>
  <si>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</si>
  <si>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</si>
  <si>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</si>
  <si>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</si>
  <si>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</si>
  <si>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</si>
  <si>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</si>
  <si>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</si>
  <si>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</si>
  <si>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</si>
  <si>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</si>
  <si>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</si>
  <si>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</si>
  <si>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</si>
  <si>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</si>
  <si>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</si>
  <si>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</si>
  <si>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</si>
  <si>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</si>
  <si>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</si>
  <si>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</si>
  <si>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</si>
  <si>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</si>
  <si>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</si>
  <si>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</si>
  <si>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</si>
  <si>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</si>
  <si>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</si>
  <si>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</si>
  <si>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</si>
  <si>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</si>
  <si>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</si>
  <si>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</si>
  <si>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</si>
  <si>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</si>
  <si>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</si>
  <si>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</si>
  <si>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</si>
  <si>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</si>
  <si>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</si>
  <si>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</si>
  <si>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</si>
  <si>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</si>
  <si>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</si>
  <si>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</si>
  <si>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</si>
  <si>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</si>
  <si>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</si>
  <si>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</si>
  <si>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</si>
  <si>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</si>
  <si>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</si>
  <si>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</si>
  <si>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</si>
  <si>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</si>
  <si>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</si>
  <si>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</si>
  <si>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</si>
  <si>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</si>
  <si>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</si>
  <si>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</si>
  <si>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</si>
  <si>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</si>
  <si>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</si>
  <si>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</si>
  <si>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</si>
  <si>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</si>
  <si>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</si>
  <si>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</si>
  <si>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</si>
  <si>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</si>
  <si>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</si>
  <si>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</si>
  <si>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</si>
  <si>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</si>
  <si>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</si>
  <si>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</si>
  <si>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</si>
  <si>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</si>
  <si>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</si>
  <si>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</si>
  <si>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</si>
  <si>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</si>
  <si>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</si>
  <si>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16/2558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</si>
  <si>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</si>
  <si>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</si>
  <si>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</si>
  <si>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</si>
  <si>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</si>
  <si>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</si>
  <si>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</si>
  <si>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</si>
  <si>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</si>
  <si>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 xml:space="preserve">  ธนาคาร กรุงไทย(ออมทรัพย์)  สาขาโชคชัย</t>
  </si>
  <si>
    <t>เลขที่บัญชี 344-0-48430-0</t>
  </si>
  <si>
    <t>เงินสด</t>
  </si>
  <si>
    <t>12/2559</t>
  </si>
  <si>
    <t>กลุ่มปลูกพืชฤดูแล้ง ม. 12 บ้านโคกพลวง</t>
  </si>
  <si>
    <r>
      <t>หัก</t>
    </r>
    <r>
      <rPr>
        <b/>
        <sz val="16"/>
        <rFont val="Angsana New"/>
        <family val="1"/>
      </rPr>
      <t xml:space="preserve">  รายรับที่ยังไม่ได้รับ</t>
    </r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</si>
  <si>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</si>
  <si>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</si>
  <si>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</si>
  <si>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</si>
  <si>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</si>
  <si>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ณ  วันที่  30  เมษายน 2559</t>
  </si>
  <si>
    <t>510000</t>
  </si>
  <si>
    <t xml:space="preserve"> 30  เมษายน  2559</t>
  </si>
  <si>
    <t>ณ วันที่  30  เมษายน  2559</t>
  </si>
  <si>
    <t>หมายเหตุ 2  ประกอบงบทดลอง  ณ  วันที่    30  เมษายน  2559</t>
  </si>
  <si>
    <t>หมายเหตุ 1  ประกอบงบทดลอง  ณ  วันที่    30  เมษายน  2559</t>
  </si>
  <si>
    <t>หมายเหตุ 1  ประกอบงบทดลอง  ณ  วันที่    30  เมษายน 2559</t>
  </si>
  <si>
    <t xml:space="preserve">ประจำเดือน เมษายน  2559 </t>
  </si>
  <si>
    <t>ประกันสัญญา</t>
  </si>
  <si>
    <t>วันที่  1  เมษายน  2559  ถึง   30  เมษายน  2559</t>
  </si>
  <si>
    <t>ยอดเงินคงเหลือตามรายงานธนาคาร ณวันที่  30  เมษายน  2559</t>
  </si>
  <si>
    <t>29 เม.ย. 59</t>
  </si>
  <si>
    <t>ภาษีสุรา</t>
  </si>
  <si>
    <t>ภาษีสรรพสามิตร</t>
  </si>
  <si>
    <t>ยอดเงินคงเหลือตามบัญชี  ณ  วันที่   30  เมษายน  2559</t>
  </si>
  <si>
    <t>(ลงชื่อ).................................วันที่   30  เมษายน  2559</t>
  </si>
  <si>
    <t>ยอดเงินคงเหลือตามรายงานธนาคาร ณวันที่ 30  เมษายน 2559</t>
  </si>
  <si>
    <t>28 เม.ย. 59</t>
  </si>
  <si>
    <t>16014411</t>
  </si>
  <si>
    <t>16014412</t>
  </si>
  <si>
    <t>ยอดเงินคงเหลือตามบัญชี  ณ  วันที่  30  เมษายน  2559</t>
  </si>
  <si>
    <t>(ลงชื่อ).................................วันที่  30  เมษายน  2559</t>
  </si>
  <si>
    <t xml:space="preserve">           นักวิชาการเงินและบัญชีปฏิบัติการ</t>
  </si>
  <si>
    <t>(ลงชื่อ)........................................................วันที่ 30  เมษายน  2559</t>
  </si>
  <si>
    <t xml:space="preserve">              นักวิชาการเงินและบัญชีปฏิบัติการ</t>
  </si>
  <si>
    <t>(ลงชื่อ)..............................................................วันที่ 30  เมษายน  2559</t>
  </si>
  <si>
    <t>เดือน  เมษายน  2559</t>
  </si>
  <si>
    <t>เดือน   เมษายน  2559</t>
  </si>
  <si>
    <t xml:space="preserve">     นักวิชาการเงินและบัญชีปฏิบัติการ                                                                         ผู้อำนวยการกองคลัง</t>
  </si>
  <si>
    <t xml:space="preserve">  นักวิชาการเงินและบัญชีปฏิบัติการ</t>
  </si>
  <si>
    <t xml:space="preserve">    นักวิชาการเงินและบัญชีปฏิบัติการ                                                                      ผู้อำนวยการกองคลัง</t>
  </si>
  <si>
    <t xml:space="preserve">          นักวิชาการเงินและบัญชีปฏิบัติการ                                                  ผู้อำนวยการกองคลัง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</si>
  <si>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รายรับที่ยังไม่ได้รับ</t>
    </r>
  </si>
  <si>
    <t>ดอกเบี้ยเงินฝากธนาคาร</t>
  </si>
  <si>
    <t>ภาษีมูลค่าเพิ่มตาม พรบ.จัดสรรรายได้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</si>
</sst>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8" fillId="0" borderId="16" xfId="37" applyFont="1" applyBorder="1" applyAlignment="1">
      <alignment/>
    </xf>
    <xf numFmtId="194" fontId="4" fillId="0" borderId="0" xfId="33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1"/>
  <sheetViews>
    <sheetView view="pageBreakPreview" zoomScaleSheetLayoutView="100" workbookViewId="0" topLeftCell="A58">
      <selection activeCell="A70" sqref="A70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539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530</v>
      </c>
      <c r="B5" s="161" t="s">
        <v>259</v>
      </c>
      <c r="C5" s="287">
        <v>9369</v>
      </c>
      <c r="D5" s="96"/>
    </row>
    <row r="6" spans="1:4" s="158" customFormat="1" ht="16.5" customHeight="1">
      <c r="A6" s="160" t="s">
        <v>357</v>
      </c>
      <c r="B6" s="161" t="s">
        <v>428</v>
      </c>
      <c r="C6" s="46">
        <v>3770611.39</v>
      </c>
      <c r="D6" s="96"/>
    </row>
    <row r="7" spans="1:9" ht="16.5" customHeight="1">
      <c r="A7" s="160" t="s">
        <v>73</v>
      </c>
      <c r="B7" s="161" t="s">
        <v>428</v>
      </c>
      <c r="C7" s="46">
        <v>10985313.64</v>
      </c>
      <c r="D7" s="96"/>
      <c r="I7" s="160"/>
    </row>
    <row r="8" spans="1:4" ht="16.5" customHeight="1">
      <c r="A8" s="160" t="s">
        <v>74</v>
      </c>
      <c r="B8" s="161" t="s">
        <v>428</v>
      </c>
      <c r="C8" s="46">
        <v>105199.71</v>
      </c>
      <c r="D8" s="45"/>
    </row>
    <row r="9" spans="1:4" ht="16.5" customHeight="1">
      <c r="A9" s="160" t="s">
        <v>361</v>
      </c>
      <c r="B9" s="161" t="s">
        <v>428</v>
      </c>
      <c r="C9" s="46">
        <v>5157022.09</v>
      </c>
      <c r="D9" s="45"/>
    </row>
    <row r="10" spans="1:4" ht="16.5" customHeight="1">
      <c r="A10" s="160" t="s">
        <v>75</v>
      </c>
      <c r="B10" s="161" t="s">
        <v>429</v>
      </c>
      <c r="C10" s="46">
        <v>14155672.79</v>
      </c>
      <c r="D10" s="45"/>
    </row>
    <row r="11" spans="1:4" ht="16.5" customHeight="1">
      <c r="A11" s="160" t="s">
        <v>31</v>
      </c>
      <c r="B11" s="161" t="s">
        <v>430</v>
      </c>
      <c r="C11" s="46">
        <v>383151</v>
      </c>
      <c r="D11" s="45"/>
    </row>
    <row r="12" spans="1:4" ht="16.5" customHeight="1">
      <c r="A12" s="160" t="s">
        <v>459</v>
      </c>
      <c r="B12" s="161" t="s">
        <v>430</v>
      </c>
      <c r="C12" s="46">
        <v>4229400</v>
      </c>
      <c r="D12" s="45"/>
    </row>
    <row r="13" spans="1:4" ht="16.5" customHeight="1">
      <c r="A13" s="160" t="s">
        <v>460</v>
      </c>
      <c r="B13" s="161" t="s">
        <v>430</v>
      </c>
      <c r="C13" s="46">
        <v>1013600</v>
      </c>
      <c r="D13" s="45"/>
    </row>
    <row r="14" spans="1:4" ht="16.5" customHeight="1">
      <c r="A14" s="160" t="s">
        <v>461</v>
      </c>
      <c r="B14" s="161" t="s">
        <v>430</v>
      </c>
      <c r="C14" s="46">
        <v>3500</v>
      </c>
      <c r="D14" s="45"/>
    </row>
    <row r="15" spans="1:10" ht="16.5" customHeight="1">
      <c r="A15" s="160" t="s">
        <v>331</v>
      </c>
      <c r="B15" s="161" t="s">
        <v>431</v>
      </c>
      <c r="C15" s="46">
        <v>1651020</v>
      </c>
      <c r="D15" s="45"/>
      <c r="J15" s="155" t="s">
        <v>485</v>
      </c>
    </row>
    <row r="16" spans="1:4" ht="16.5" customHeight="1">
      <c r="A16" s="160" t="s">
        <v>332</v>
      </c>
      <c r="B16" s="161" t="s">
        <v>432</v>
      </c>
      <c r="C16" s="46">
        <v>2727962</v>
      </c>
      <c r="D16" s="45"/>
    </row>
    <row r="17" spans="1:4" ht="16.5" customHeight="1">
      <c r="A17" s="160" t="s">
        <v>462</v>
      </c>
      <c r="B17" s="161" t="s">
        <v>432</v>
      </c>
      <c r="C17" s="46">
        <v>113710</v>
      </c>
      <c r="D17" s="45"/>
    </row>
    <row r="18" spans="1:4" ht="16.5" customHeight="1">
      <c r="A18" s="160" t="s">
        <v>333</v>
      </c>
      <c r="B18" s="161" t="s">
        <v>432</v>
      </c>
      <c r="C18" s="46">
        <v>93620</v>
      </c>
      <c r="D18" s="45"/>
    </row>
    <row r="19" spans="1:4" ht="16.5" customHeight="1">
      <c r="A19" s="160" t="s">
        <v>334</v>
      </c>
      <c r="B19" s="161" t="s">
        <v>432</v>
      </c>
      <c r="C19" s="46">
        <v>817223</v>
      </c>
      <c r="D19" s="45"/>
    </row>
    <row r="20" spans="1:4" ht="16.5" customHeight="1">
      <c r="A20" s="160" t="s">
        <v>463</v>
      </c>
      <c r="B20" s="161" t="s">
        <v>432</v>
      </c>
      <c r="C20" s="46">
        <v>70000</v>
      </c>
      <c r="D20" s="45"/>
    </row>
    <row r="21" spans="1:4" ht="16.5" customHeight="1">
      <c r="A21" s="160" t="s">
        <v>6</v>
      </c>
      <c r="B21" s="161" t="s">
        <v>433</v>
      </c>
      <c r="C21" s="46">
        <v>211284</v>
      </c>
      <c r="D21" s="45"/>
    </row>
    <row r="22" spans="1:4" ht="16.5" customHeight="1">
      <c r="A22" s="160" t="s">
        <v>7</v>
      </c>
      <c r="B22" s="161" t="s">
        <v>359</v>
      </c>
      <c r="C22" s="46">
        <v>1649158.11</v>
      </c>
      <c r="D22" s="45"/>
    </row>
    <row r="23" spans="1:4" ht="16.5" customHeight="1">
      <c r="A23" s="160" t="s">
        <v>8</v>
      </c>
      <c r="B23" s="161" t="s">
        <v>434</v>
      </c>
      <c r="C23" s="46">
        <v>775451.52</v>
      </c>
      <c r="D23" s="45"/>
    </row>
    <row r="24" spans="1:4" ht="16.5" customHeight="1">
      <c r="A24" s="160" t="s">
        <v>9</v>
      </c>
      <c r="B24" s="161" t="s">
        <v>435</v>
      </c>
      <c r="C24" s="46">
        <v>147291.77</v>
      </c>
      <c r="D24" s="45"/>
    </row>
    <row r="25" spans="1:4" ht="16.5" customHeight="1">
      <c r="A25" s="160" t="s">
        <v>54</v>
      </c>
      <c r="B25" s="161" t="s">
        <v>436</v>
      </c>
      <c r="C25" s="46">
        <v>198470.42</v>
      </c>
      <c r="D25" s="45"/>
    </row>
    <row r="26" spans="1:4" ht="16.5" customHeight="1">
      <c r="A26" s="160" t="s">
        <v>55</v>
      </c>
      <c r="B26" s="161" t="s">
        <v>540</v>
      </c>
      <c r="C26" s="46">
        <v>143000</v>
      </c>
      <c r="D26" s="45"/>
    </row>
    <row r="27" spans="1:4" ht="16.5" customHeight="1">
      <c r="A27" s="160" t="s">
        <v>32</v>
      </c>
      <c r="B27" s="161" t="s">
        <v>437</v>
      </c>
      <c r="C27" s="46">
        <v>985520</v>
      </c>
      <c r="D27" s="45"/>
    </row>
    <row r="28" spans="1:4" ht="16.5" customHeight="1">
      <c r="A28" s="160" t="s">
        <v>335</v>
      </c>
      <c r="B28" s="161" t="s">
        <v>439</v>
      </c>
      <c r="C28" s="46">
        <v>2948.57</v>
      </c>
      <c r="D28" s="45"/>
    </row>
    <row r="29" spans="1:4" ht="16.5" customHeight="1">
      <c r="A29" s="159" t="s">
        <v>427</v>
      </c>
      <c r="B29" s="161" t="s">
        <v>440</v>
      </c>
      <c r="C29" s="46">
        <v>1031560</v>
      </c>
      <c r="D29" s="45"/>
    </row>
    <row r="30" spans="1:4" ht="16.5" customHeight="1">
      <c r="A30" s="159" t="s">
        <v>449</v>
      </c>
      <c r="B30" s="161" t="s">
        <v>450</v>
      </c>
      <c r="C30" s="46">
        <v>0</v>
      </c>
      <c r="D30" s="45"/>
    </row>
    <row r="31" spans="1:4" ht="16.5" customHeight="1">
      <c r="A31" s="159" t="s">
        <v>11</v>
      </c>
      <c r="B31" s="161" t="s">
        <v>358</v>
      </c>
      <c r="C31" s="46"/>
      <c r="D31" s="45">
        <f>5091270.11+1242343.67+3565986.22+1434674.06+1972494.68+1747445.15</f>
        <v>15054213.89</v>
      </c>
    </row>
    <row r="32" spans="1:4" ht="16.5" customHeight="1">
      <c r="A32" s="160" t="s">
        <v>448</v>
      </c>
      <c r="B32" s="161" t="s">
        <v>445</v>
      </c>
      <c r="C32" s="46"/>
      <c r="D32" s="97">
        <v>632382</v>
      </c>
    </row>
    <row r="33" spans="1:4" ht="16.5" customHeight="1">
      <c r="A33" s="160" t="s">
        <v>336</v>
      </c>
      <c r="B33" s="161" t="s">
        <v>444</v>
      </c>
      <c r="C33" s="46"/>
      <c r="D33" s="95">
        <v>1801185.77</v>
      </c>
    </row>
    <row r="34" spans="1:8" ht="16.5" customHeight="1">
      <c r="A34" s="160" t="s">
        <v>10</v>
      </c>
      <c r="B34" s="161" t="s">
        <v>433</v>
      </c>
      <c r="C34" s="46"/>
      <c r="D34" s="45">
        <v>13062054.56</v>
      </c>
      <c r="H34" s="155" t="s">
        <v>254</v>
      </c>
    </row>
    <row r="35" spans="1:4" ht="16.5" customHeight="1">
      <c r="A35" s="160" t="s">
        <v>128</v>
      </c>
      <c r="B35" s="161" t="s">
        <v>359</v>
      </c>
      <c r="C35" s="46"/>
      <c r="D35" s="45">
        <v>14155672.79</v>
      </c>
    </row>
    <row r="36" spans="1:4" ht="16.5" customHeight="1">
      <c r="A36" s="160" t="s">
        <v>451</v>
      </c>
      <c r="B36" s="161" t="s">
        <v>452</v>
      </c>
      <c r="C36" s="46"/>
      <c r="D36" s="45">
        <v>0</v>
      </c>
    </row>
    <row r="37" spans="1:4" ht="16.5" customHeight="1">
      <c r="A37" s="160" t="s">
        <v>487</v>
      </c>
      <c r="B37" s="161" t="s">
        <v>436</v>
      </c>
      <c r="C37" s="46"/>
      <c r="D37" s="45">
        <v>146850</v>
      </c>
    </row>
    <row r="38" spans="1:4" ht="16.5" customHeight="1">
      <c r="A38" s="160" t="s">
        <v>488</v>
      </c>
      <c r="B38" s="161" t="s">
        <v>436</v>
      </c>
      <c r="C38" s="46"/>
      <c r="D38" s="45">
        <v>81000</v>
      </c>
    </row>
    <row r="39" spans="1:4" ht="16.5" customHeight="1">
      <c r="A39" s="160" t="s">
        <v>489</v>
      </c>
      <c r="B39" s="161" t="s">
        <v>436</v>
      </c>
      <c r="C39" s="46"/>
      <c r="D39" s="45">
        <v>9000</v>
      </c>
    </row>
    <row r="40" spans="1:4" ht="16.5" customHeight="1">
      <c r="A40" s="160" t="s">
        <v>490</v>
      </c>
      <c r="B40" s="161" t="s">
        <v>436</v>
      </c>
      <c r="C40" s="46"/>
      <c r="D40" s="45">
        <v>4500</v>
      </c>
    </row>
    <row r="41" spans="1:4" ht="16.5" customHeight="1">
      <c r="A41" s="160" t="s">
        <v>491</v>
      </c>
      <c r="B41" s="161" t="s">
        <v>436</v>
      </c>
      <c r="C41" s="46"/>
      <c r="D41" s="45">
        <v>63700</v>
      </c>
    </row>
    <row r="42" spans="1:4" ht="16.5" customHeight="1">
      <c r="A42" s="160" t="s">
        <v>492</v>
      </c>
      <c r="B42" s="161" t="s">
        <v>436</v>
      </c>
      <c r="C42" s="46"/>
      <c r="D42" s="45">
        <v>4328500</v>
      </c>
    </row>
    <row r="43" spans="1:4" ht="16.5" customHeight="1">
      <c r="A43" s="160" t="s">
        <v>493</v>
      </c>
      <c r="B43" s="161" t="s">
        <v>436</v>
      </c>
      <c r="C43" s="46"/>
      <c r="D43" s="45">
        <v>1092000</v>
      </c>
    </row>
    <row r="44" spans="2:5" ht="16.5" customHeight="1">
      <c r="B44" s="162"/>
      <c r="C44" s="6">
        <f>SUM(C5:C30)</f>
        <v>50431059.01000001</v>
      </c>
      <c r="D44" s="7">
        <f>SUM(D31:D43)</f>
        <v>50431059.01</v>
      </c>
      <c r="E44" s="163"/>
    </row>
    <row r="45" spans="1:4" ht="16.5" customHeight="1">
      <c r="A45" s="295" t="s">
        <v>121</v>
      </c>
      <c r="B45" s="295"/>
      <c r="C45" s="295"/>
      <c r="D45" s="295"/>
    </row>
    <row r="46" spans="1:4" ht="16.5" customHeight="1">
      <c r="A46" s="295" t="s">
        <v>122</v>
      </c>
      <c r="B46" s="295"/>
      <c r="C46" s="295"/>
      <c r="D46" s="295"/>
    </row>
    <row r="47" spans="1:4" ht="16.5" customHeight="1">
      <c r="A47" s="165" t="s">
        <v>120</v>
      </c>
      <c r="B47" s="164"/>
      <c r="C47" s="10"/>
      <c r="D47" s="10"/>
    </row>
    <row r="48" spans="1:4" ht="16.5" customHeight="1">
      <c r="A48" s="158" t="s">
        <v>119</v>
      </c>
      <c r="B48" s="158"/>
      <c r="C48" s="4"/>
      <c r="D48" s="4"/>
    </row>
    <row r="49" spans="1:4" ht="16.5" customHeight="1">
      <c r="A49" s="158" t="s">
        <v>15</v>
      </c>
      <c r="B49" s="158"/>
      <c r="C49" s="4"/>
      <c r="D49" s="4"/>
    </row>
    <row r="50" spans="1:4" ht="16.5" customHeight="1">
      <c r="A50" s="154" t="s">
        <v>541</v>
      </c>
      <c r="B50" s="154"/>
      <c r="C50" s="85"/>
      <c r="D50" s="85"/>
    </row>
    <row r="51" spans="1:4" ht="16.5" customHeight="1">
      <c r="A51" s="154"/>
      <c r="B51" s="154"/>
      <c r="C51" s="85"/>
      <c r="D51" s="85"/>
    </row>
    <row r="52" spans="1:4" ht="16.5" customHeight="1">
      <c r="A52" s="154"/>
      <c r="B52" s="154"/>
      <c r="C52" s="85"/>
      <c r="D52" s="85"/>
    </row>
    <row r="53" spans="1:4" ht="16.5" customHeight="1">
      <c r="A53" s="154"/>
      <c r="B53" s="154"/>
      <c r="C53" s="85"/>
      <c r="D53" s="85"/>
    </row>
    <row r="54" spans="1:4" ht="16.5" customHeight="1">
      <c r="A54" s="154"/>
      <c r="B54" s="154"/>
      <c r="C54" s="85"/>
      <c r="D54" s="85"/>
    </row>
    <row r="55" spans="1:4" ht="16.5" customHeight="1">
      <c r="A55" s="293" t="s">
        <v>57</v>
      </c>
      <c r="B55" s="293"/>
      <c r="C55" s="293"/>
      <c r="D55" s="293"/>
    </row>
    <row r="56" spans="1:4" ht="16.5" customHeight="1">
      <c r="A56" s="294" t="s">
        <v>410</v>
      </c>
      <c r="B56" s="294"/>
      <c r="C56" s="294"/>
      <c r="D56" s="294"/>
    </row>
    <row r="57" spans="1:4" ht="16.5" customHeight="1">
      <c r="A57" s="294" t="s">
        <v>542</v>
      </c>
      <c r="B57" s="294"/>
      <c r="C57" s="294"/>
      <c r="D57" s="294"/>
    </row>
    <row r="58" spans="1:13" ht="16.5" customHeight="1">
      <c r="A58" s="158"/>
      <c r="B58" s="158"/>
      <c r="C58" s="158"/>
      <c r="D58" s="158"/>
      <c r="K58" s="160"/>
      <c r="L58" s="160"/>
      <c r="M58" s="160"/>
    </row>
    <row r="59" spans="1:13" ht="16.5" customHeight="1">
      <c r="A59" s="165" t="s">
        <v>411</v>
      </c>
      <c r="B59" s="158"/>
      <c r="C59" s="158"/>
      <c r="D59" s="158"/>
      <c r="K59" s="160"/>
      <c r="L59" s="160"/>
      <c r="M59" s="160"/>
    </row>
    <row r="60" spans="1:4" ht="16.5" customHeight="1">
      <c r="A60" s="165"/>
      <c r="B60" s="158"/>
      <c r="C60" s="158"/>
      <c r="D60" s="158" t="s">
        <v>70</v>
      </c>
    </row>
    <row r="61" spans="1:4" ht="16.5" customHeight="1">
      <c r="A61" s="165" t="s">
        <v>17</v>
      </c>
      <c r="B61" s="158"/>
      <c r="C61" s="4"/>
      <c r="D61" s="48">
        <v>637454</v>
      </c>
    </row>
    <row r="62" spans="1:4" ht="16.5" customHeight="1">
      <c r="A62" s="165" t="s">
        <v>362</v>
      </c>
      <c r="B62" s="158"/>
      <c r="C62" s="4"/>
      <c r="D62" s="48">
        <v>18173.8</v>
      </c>
    </row>
    <row r="63" spans="1:4" ht="16.5" customHeight="1">
      <c r="A63" s="155" t="s">
        <v>18</v>
      </c>
      <c r="D63" s="292">
        <v>5839.26</v>
      </c>
    </row>
    <row r="64" spans="1:4" ht="16.5" customHeight="1">
      <c r="A64" s="155" t="s">
        <v>399</v>
      </c>
      <c r="D64" s="292">
        <v>2959</v>
      </c>
    </row>
    <row r="65" spans="1:4" ht="16.5" customHeight="1">
      <c r="A65" s="165" t="s">
        <v>76</v>
      </c>
      <c r="D65" s="8">
        <v>1136759.71</v>
      </c>
    </row>
    <row r="66" ht="16.5" customHeight="1">
      <c r="A66" s="160"/>
    </row>
    <row r="67" spans="1:4" ht="16.5" customHeight="1" thickBot="1">
      <c r="A67" s="160"/>
      <c r="C67" s="12" t="s">
        <v>19</v>
      </c>
      <c r="D67" s="283">
        <f>SUM(D61:D66)</f>
        <v>1801185.77</v>
      </c>
    </row>
    <row r="68" ht="16.5" customHeight="1" thickTop="1">
      <c r="A68" s="160"/>
    </row>
    <row r="69" ht="16.5" customHeight="1">
      <c r="A69" s="160"/>
    </row>
    <row r="70" spans="1:7" ht="16.5" customHeight="1">
      <c r="A70" s="160"/>
      <c r="G70" s="160"/>
    </row>
    <row r="71" spans="4:7" ht="16.5" customHeight="1">
      <c r="D71" s="13"/>
      <c r="G71" s="279"/>
    </row>
    <row r="72" ht="16.5" customHeight="1">
      <c r="D72" s="13"/>
    </row>
    <row r="73" ht="16.5" customHeight="1">
      <c r="D73" s="13"/>
    </row>
    <row r="74" spans="1:4" ht="16.5" customHeight="1">
      <c r="A74" s="168"/>
      <c r="D74" s="13"/>
    </row>
    <row r="75" spans="1:4" ht="16.5" customHeight="1">
      <c r="A75" s="168"/>
      <c r="D75" s="13"/>
    </row>
    <row r="76" spans="1:4" ht="16.5" customHeight="1">
      <c r="A76" s="168"/>
      <c r="D76" s="13"/>
    </row>
    <row r="77" spans="1:4" ht="16.5" customHeight="1">
      <c r="A77" s="168"/>
      <c r="D77" s="13"/>
    </row>
    <row r="78" spans="1:4" ht="16.5" customHeight="1">
      <c r="A78" s="158"/>
      <c r="D78" s="13"/>
    </row>
    <row r="79" spans="2:4" ht="16.5" customHeight="1">
      <c r="B79" s="155"/>
      <c r="C79" s="2"/>
      <c r="D79" s="2"/>
    </row>
    <row r="80" spans="2:4" ht="16.5" customHeight="1">
      <c r="B80" s="155"/>
      <c r="C80" s="2"/>
      <c r="D80" s="2"/>
    </row>
    <row r="81" spans="2:4" ht="16.5" customHeight="1">
      <c r="B81" s="155"/>
      <c r="C81" s="2"/>
      <c r="D81" s="2"/>
    </row>
    <row r="82" spans="2:4" ht="16.5" customHeight="1">
      <c r="B82" s="155"/>
      <c r="C82" s="2"/>
      <c r="D82" s="2"/>
    </row>
    <row r="83" spans="2:4" ht="16.5" customHeight="1">
      <c r="B83" s="155"/>
      <c r="C83" s="2"/>
      <c r="D83" s="2"/>
    </row>
    <row r="84" spans="2:4" ht="16.5" customHeight="1">
      <c r="B84" s="155"/>
      <c r="C84" s="2"/>
      <c r="D84" s="2"/>
    </row>
    <row r="85" spans="2:4" ht="16.5" customHeight="1">
      <c r="B85" s="155"/>
      <c r="C85" s="2"/>
      <c r="D85" s="2"/>
    </row>
    <row r="86" spans="2:4" ht="16.5" customHeight="1">
      <c r="B86" s="155"/>
      <c r="C86" s="2"/>
      <c r="D86" s="2"/>
    </row>
    <row r="87" spans="2:4" ht="16.5" customHeight="1">
      <c r="B87" s="155"/>
      <c r="C87" s="2"/>
      <c r="D87" s="2"/>
    </row>
    <row r="88" spans="2:4" ht="16.5" customHeight="1">
      <c r="B88" s="155"/>
      <c r="C88" s="2"/>
      <c r="D88" s="2"/>
    </row>
    <row r="89" spans="2:4" ht="16.5" customHeight="1">
      <c r="B89" s="155"/>
      <c r="C89" s="2"/>
      <c r="D89" s="2"/>
    </row>
    <row r="90" spans="2:4" ht="16.5" customHeight="1">
      <c r="B90" s="155"/>
      <c r="C90" s="2"/>
      <c r="D90" s="2"/>
    </row>
    <row r="91" spans="2:4" ht="16.5" customHeight="1">
      <c r="B91" s="155"/>
      <c r="C91" s="2"/>
      <c r="D91" s="2"/>
    </row>
    <row r="92" spans="2:4" ht="16.5" customHeight="1">
      <c r="B92" s="155"/>
      <c r="C92" s="2"/>
      <c r="D92" s="2"/>
    </row>
    <row r="93" spans="2:4" ht="16.5" customHeight="1">
      <c r="B93" s="155"/>
      <c r="C93" s="2"/>
      <c r="D93" s="2"/>
    </row>
    <row r="94" spans="2:4" ht="16.5" customHeight="1">
      <c r="B94" s="155"/>
      <c r="C94" s="2"/>
      <c r="D94" s="2"/>
    </row>
    <row r="95" spans="2:4" ht="16.5" customHeight="1">
      <c r="B95" s="155"/>
      <c r="C95" s="2"/>
      <c r="D95" s="2"/>
    </row>
    <row r="96" spans="2:4" ht="16.5" customHeight="1">
      <c r="B96" s="155"/>
      <c r="C96" s="2"/>
      <c r="D96" s="2"/>
    </row>
    <row r="97" spans="2:4" ht="16.5" customHeight="1">
      <c r="B97" s="155"/>
      <c r="C97" s="2"/>
      <c r="D97" s="2"/>
    </row>
    <row r="98" spans="2:4" ht="16.5" customHeight="1">
      <c r="B98" s="155"/>
      <c r="C98" s="2"/>
      <c r="D98" s="2"/>
    </row>
    <row r="99" spans="2:4" ht="16.5" customHeight="1">
      <c r="B99" s="155"/>
      <c r="C99" s="2"/>
      <c r="D99" s="2"/>
    </row>
    <row r="100" spans="2:4" ht="16.5" customHeight="1">
      <c r="B100" s="155"/>
      <c r="C100" s="2"/>
      <c r="D100" s="2"/>
    </row>
    <row r="101" spans="2:4" ht="16.5" customHeight="1">
      <c r="B101" s="155"/>
      <c r="C101" s="2"/>
      <c r="D101" s="2"/>
    </row>
    <row r="102" spans="2:4" ht="16.5" customHeight="1">
      <c r="B102" s="155"/>
      <c r="C102" s="2"/>
      <c r="D102" s="2"/>
    </row>
    <row r="103" spans="2:4" ht="16.5" customHeight="1">
      <c r="B103" s="155"/>
      <c r="C103" s="2"/>
      <c r="D103" s="2"/>
    </row>
    <row r="104" spans="2:4" ht="16.5" customHeight="1">
      <c r="B104" s="155"/>
      <c r="C104" s="2"/>
      <c r="D104" s="2"/>
    </row>
    <row r="105" spans="2:4" ht="16.5" customHeight="1">
      <c r="B105" s="155"/>
      <c r="C105" s="2"/>
      <c r="D105" s="2"/>
    </row>
    <row r="106" spans="2:4" ht="16.5" customHeight="1">
      <c r="B106" s="155"/>
      <c r="C106" s="2"/>
      <c r="D106" s="2"/>
    </row>
    <row r="107" spans="2:4" ht="16.5" customHeight="1">
      <c r="B107" s="155"/>
      <c r="C107" s="2"/>
      <c r="D107" s="2"/>
    </row>
    <row r="108" spans="2:4" ht="16.5" customHeight="1">
      <c r="B108" s="155"/>
      <c r="C108" s="2"/>
      <c r="D108" s="2"/>
    </row>
    <row r="109" spans="2:4" ht="16.5" customHeight="1">
      <c r="B109" s="155"/>
      <c r="C109" s="2"/>
      <c r="D109" s="2"/>
    </row>
    <row r="110" spans="2:4" ht="16.5" customHeight="1">
      <c r="B110" s="155"/>
      <c r="C110" s="2"/>
      <c r="D110" s="2"/>
    </row>
    <row r="111" spans="2:4" ht="16.5" customHeight="1">
      <c r="B111" s="155"/>
      <c r="C111" s="2"/>
      <c r="D111" s="2"/>
    </row>
    <row r="112" spans="2:4" ht="16.5" customHeight="1">
      <c r="B112" s="155"/>
      <c r="C112" s="2"/>
      <c r="D112" s="2"/>
    </row>
    <row r="113" spans="2:4" ht="16.5" customHeight="1">
      <c r="B113" s="155"/>
      <c r="C113" s="2"/>
      <c r="D113" s="2"/>
    </row>
    <row r="114" spans="2:4" ht="16.5" customHeight="1">
      <c r="B114" s="155"/>
      <c r="C114" s="2"/>
      <c r="D114" s="2"/>
    </row>
    <row r="115" spans="2:4" ht="16.5" customHeight="1">
      <c r="B115" s="155"/>
      <c r="C115" s="2"/>
      <c r="D115" s="2"/>
    </row>
    <row r="116" spans="2:4" ht="16.5" customHeight="1">
      <c r="B116" s="155"/>
      <c r="C116" s="2"/>
      <c r="D116" s="2"/>
    </row>
    <row r="117" spans="2:4" ht="16.5" customHeight="1">
      <c r="B117" s="155"/>
      <c r="C117" s="2"/>
      <c r="D117" s="2"/>
    </row>
    <row r="118" spans="2:4" ht="16.5" customHeight="1">
      <c r="B118" s="155"/>
      <c r="C118" s="2"/>
      <c r="D118" s="2"/>
    </row>
    <row r="119" spans="2:4" ht="16.5" customHeight="1">
      <c r="B119" s="155"/>
      <c r="C119" s="2"/>
      <c r="D119" s="2"/>
    </row>
    <row r="120" spans="2:4" ht="16.5" customHeight="1">
      <c r="B120" s="155"/>
      <c r="C120" s="2"/>
      <c r="D120" s="2"/>
    </row>
    <row r="121" spans="2:4" ht="16.5" customHeight="1">
      <c r="B121" s="155"/>
      <c r="C121" s="2"/>
      <c r="D121" s="2"/>
    </row>
    <row r="122" spans="2:4" ht="16.5" customHeight="1">
      <c r="B122" s="155"/>
      <c r="C122" s="2"/>
      <c r="D122" s="2"/>
    </row>
    <row r="123" spans="2:4" ht="16.5" customHeight="1">
      <c r="B123" s="155"/>
      <c r="C123" s="2"/>
      <c r="D123" s="2"/>
    </row>
    <row r="124" spans="2:4" ht="16.5" customHeight="1">
      <c r="B124" s="155"/>
      <c r="C124" s="2"/>
      <c r="D124" s="2"/>
    </row>
    <row r="125" spans="2:4" ht="16.5" customHeight="1">
      <c r="B125" s="155"/>
      <c r="C125" s="2"/>
      <c r="D125" s="2"/>
    </row>
    <row r="126" spans="2:4" ht="16.5" customHeight="1">
      <c r="B126" s="155"/>
      <c r="C126" s="2"/>
      <c r="D126" s="2"/>
    </row>
    <row r="127" spans="2:4" ht="16.5" customHeight="1">
      <c r="B127" s="155"/>
      <c r="C127" s="2"/>
      <c r="D127" s="2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11"/>
      <c r="D516" s="2"/>
    </row>
    <row r="517" spans="2:4" ht="16.5" customHeight="1">
      <c r="B517" s="155"/>
      <c r="C517" s="11"/>
      <c r="D517" s="2"/>
    </row>
    <row r="518" spans="2:4" ht="16.5" customHeight="1">
      <c r="B518" s="155"/>
      <c r="C518" s="11"/>
      <c r="D518" s="2"/>
    </row>
    <row r="519" spans="2:4" ht="16.5" customHeight="1">
      <c r="B519" s="155"/>
      <c r="C519" s="11"/>
      <c r="D519" s="2"/>
    </row>
    <row r="520" spans="2:4" ht="16.5" customHeight="1">
      <c r="B520" s="155"/>
      <c r="C520" s="11"/>
      <c r="D520" s="2"/>
    </row>
    <row r="521" spans="2:4" ht="16.5" customHeight="1">
      <c r="B521" s="155"/>
      <c r="C521" s="11"/>
      <c r="D521" s="2"/>
    </row>
    <row r="522" spans="2:4" ht="16.5" customHeight="1">
      <c r="B522" s="155"/>
      <c r="C522" s="11"/>
      <c r="D522" s="2"/>
    </row>
    <row r="523" spans="2:4" ht="16.5" customHeight="1">
      <c r="B523" s="155"/>
      <c r="C523" s="11"/>
      <c r="D523" s="2"/>
    </row>
    <row r="524" spans="2:4" ht="16.5" customHeight="1">
      <c r="B524" s="155"/>
      <c r="C524" s="11"/>
      <c r="D524" s="2"/>
    </row>
    <row r="525" spans="2:4" ht="16.5" customHeight="1">
      <c r="B525" s="155"/>
      <c r="C525" s="11"/>
      <c r="D525" s="2"/>
    </row>
    <row r="526" spans="2:4" ht="16.5" customHeight="1">
      <c r="B526" s="155"/>
      <c r="C526" s="11"/>
      <c r="D526" s="2"/>
    </row>
    <row r="527" spans="2:4" ht="16.5" customHeight="1">
      <c r="B527" s="155"/>
      <c r="C527" s="11"/>
      <c r="D527" s="2"/>
    </row>
    <row r="528" spans="2:4" ht="16.5" customHeight="1">
      <c r="B528" s="155"/>
      <c r="C528" s="11"/>
      <c r="D528" s="2"/>
    </row>
    <row r="529" spans="2:4" ht="16.5" customHeight="1">
      <c r="B529" s="155"/>
      <c r="C529" s="11"/>
      <c r="D529" s="2"/>
    </row>
    <row r="530" spans="2:4" ht="16.5" customHeight="1">
      <c r="B530" s="155"/>
      <c r="C530" s="11"/>
      <c r="D530" s="2"/>
    </row>
    <row r="531" spans="2:4" ht="16.5" customHeight="1">
      <c r="B531" s="155"/>
      <c r="C531" s="11"/>
      <c r="D531" s="2"/>
    </row>
    <row r="532" spans="2:4" ht="16.5" customHeight="1">
      <c r="B532" s="155"/>
      <c r="C532" s="11"/>
      <c r="D532" s="2"/>
    </row>
    <row r="533" spans="2:4" ht="16.5" customHeight="1">
      <c r="B533" s="155"/>
      <c r="C533" s="11"/>
      <c r="D533" s="2"/>
    </row>
    <row r="534" spans="2:4" ht="16.5" customHeight="1">
      <c r="B534" s="155"/>
      <c r="C534" s="11"/>
      <c r="D534" s="2"/>
    </row>
    <row r="535" spans="2:4" ht="16.5" customHeight="1">
      <c r="B535" s="155"/>
      <c r="C535" s="11"/>
      <c r="D535" s="2"/>
    </row>
    <row r="536" spans="2:4" ht="16.5" customHeight="1">
      <c r="B536" s="155"/>
      <c r="C536" s="11"/>
      <c r="D536" s="2"/>
    </row>
    <row r="537" spans="2:4" ht="16.5" customHeight="1">
      <c r="B537" s="155"/>
      <c r="C537" s="11"/>
      <c r="D537" s="2"/>
    </row>
    <row r="538" spans="2:4" ht="16.5" customHeight="1">
      <c r="B538" s="155"/>
      <c r="C538" s="11"/>
      <c r="D538" s="2"/>
    </row>
    <row r="539" spans="2:4" ht="16.5" customHeight="1">
      <c r="B539" s="155"/>
      <c r="C539" s="11"/>
      <c r="D539" s="2"/>
    </row>
    <row r="540" spans="2:4" ht="16.5" customHeight="1">
      <c r="B540" s="155"/>
      <c r="C540" s="11"/>
      <c r="D540" s="2"/>
    </row>
    <row r="541" spans="2:4" ht="16.5" customHeight="1">
      <c r="B541" s="155"/>
      <c r="C541" s="11"/>
      <c r="D541" s="2"/>
    </row>
    <row r="542" spans="2:4" ht="16.5" customHeight="1">
      <c r="B542" s="155"/>
      <c r="C542" s="11"/>
      <c r="D542" s="2"/>
    </row>
    <row r="543" spans="2:4" ht="16.5" customHeight="1">
      <c r="B543" s="155"/>
      <c r="C543" s="11"/>
      <c r="D543" s="2"/>
    </row>
    <row r="544" spans="2:4" ht="16.5" customHeight="1">
      <c r="B544" s="155"/>
      <c r="C544" s="11"/>
      <c r="D544" s="2"/>
    </row>
    <row r="545" spans="2:4" ht="16.5" customHeight="1">
      <c r="B545" s="155"/>
      <c r="C545" s="11"/>
      <c r="D545" s="2"/>
    </row>
    <row r="546" spans="2:4" ht="16.5" customHeight="1">
      <c r="B546" s="155"/>
      <c r="C546" s="11"/>
      <c r="D546" s="2"/>
    </row>
    <row r="547" spans="2:4" ht="16.5" customHeight="1">
      <c r="B547" s="155"/>
      <c r="C547" s="11"/>
      <c r="D547" s="2"/>
    </row>
    <row r="548" spans="2:4" ht="16.5" customHeight="1">
      <c r="B548" s="155"/>
      <c r="C548" s="11"/>
      <c r="D548" s="2"/>
    </row>
    <row r="549" spans="2:4" ht="16.5" customHeight="1">
      <c r="B549" s="155"/>
      <c r="C549" s="11"/>
      <c r="D549" s="2"/>
    </row>
    <row r="550" spans="2:4" ht="16.5" customHeight="1">
      <c r="B550" s="155"/>
      <c r="C550" s="11"/>
      <c r="D550" s="2"/>
    </row>
    <row r="551" spans="2:4" ht="16.5" customHeight="1">
      <c r="B551" s="155"/>
      <c r="C551" s="11"/>
      <c r="D551" s="2"/>
    </row>
    <row r="552" spans="2:4" ht="16.5" customHeight="1">
      <c r="B552" s="155"/>
      <c r="C552" s="11"/>
      <c r="D552" s="2"/>
    </row>
    <row r="553" spans="2:4" ht="16.5" customHeight="1">
      <c r="B553" s="155"/>
      <c r="C553" s="11"/>
      <c r="D553" s="2"/>
    </row>
    <row r="554" spans="2:4" ht="16.5" customHeight="1">
      <c r="B554" s="155"/>
      <c r="C554" s="11"/>
      <c r="D554" s="2"/>
    </row>
    <row r="555" spans="2:4" ht="16.5" customHeight="1">
      <c r="B555" s="155"/>
      <c r="C555" s="11"/>
      <c r="D555" s="2"/>
    </row>
    <row r="556" spans="2:4" ht="16.5" customHeight="1">
      <c r="B556" s="155"/>
      <c r="C556" s="11"/>
      <c r="D556" s="2"/>
    </row>
    <row r="557" spans="2:4" ht="16.5" customHeight="1">
      <c r="B557" s="155"/>
      <c r="C557" s="11"/>
      <c r="D557" s="2"/>
    </row>
    <row r="558" spans="2:4" ht="16.5" customHeight="1">
      <c r="B558" s="155"/>
      <c r="C558" s="11"/>
      <c r="D558" s="2"/>
    </row>
    <row r="559" spans="2:4" ht="16.5" customHeight="1">
      <c r="B559" s="155"/>
      <c r="C559" s="11"/>
      <c r="D559" s="2"/>
    </row>
    <row r="560" spans="2:4" ht="16.5" customHeight="1">
      <c r="B560" s="155"/>
      <c r="C560" s="11"/>
      <c r="D560" s="2"/>
    </row>
    <row r="561" spans="2:4" ht="16.5" customHeight="1">
      <c r="B561" s="155"/>
      <c r="C561" s="11"/>
      <c r="D561" s="2"/>
    </row>
    <row r="562" spans="2:4" ht="16.5" customHeight="1">
      <c r="B562" s="155"/>
      <c r="C562" s="11"/>
      <c r="D562" s="2"/>
    </row>
    <row r="563" spans="2:4" ht="16.5" customHeight="1">
      <c r="B563" s="155"/>
      <c r="C563" s="11"/>
      <c r="D563" s="2"/>
    </row>
    <row r="564" spans="2:4" ht="16.5" customHeight="1">
      <c r="B564" s="155"/>
      <c r="C564" s="11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1:4" ht="16.5" customHeight="1">
      <c r="A610" s="160"/>
      <c r="B610" s="160"/>
      <c r="C610" s="11"/>
      <c r="D610" s="2"/>
    </row>
    <row r="611" spans="1:4" ht="16.5" customHeight="1">
      <c r="A611" s="160"/>
      <c r="B611" s="160"/>
      <c r="C611" s="11"/>
      <c r="D611" s="2"/>
    </row>
    <row r="612" spans="1:4" ht="16.5" customHeight="1">
      <c r="A612" s="160"/>
      <c r="B612" s="160"/>
      <c r="C612" s="11"/>
      <c r="D612" s="2"/>
    </row>
    <row r="613" spans="1:4" ht="16.5" customHeight="1">
      <c r="A613" s="160"/>
      <c r="B613" s="160"/>
      <c r="C613" s="11"/>
      <c r="D613" s="2"/>
    </row>
    <row r="614" spans="1:4" ht="16.5" customHeight="1">
      <c r="A614" s="167"/>
      <c r="B614" s="167"/>
      <c r="C614" s="11"/>
      <c r="D614" s="2"/>
    </row>
    <row r="615" spans="1:4" ht="16.5" customHeight="1">
      <c r="A615" s="167"/>
      <c r="B615" s="167"/>
      <c r="C615" s="11"/>
      <c r="D615" s="2"/>
    </row>
    <row r="616" spans="1:4" ht="16.5" customHeight="1">
      <c r="A616" s="167"/>
      <c r="B616" s="167"/>
      <c r="C616" s="11"/>
      <c r="D616" s="2"/>
    </row>
    <row r="617" spans="1:4" ht="16.5" customHeight="1">
      <c r="A617" s="167"/>
      <c r="B617" s="167"/>
      <c r="C617" s="11"/>
      <c r="D617" s="2"/>
    </row>
    <row r="618" spans="1:4" ht="16.5" customHeight="1">
      <c r="A618" s="167"/>
      <c r="B618" s="167"/>
      <c r="C618" s="11"/>
      <c r="D618" s="2"/>
    </row>
    <row r="619" spans="1:4" ht="16.5" customHeight="1">
      <c r="A619" s="167"/>
      <c r="B619" s="167"/>
      <c r="C619" s="11"/>
      <c r="D619" s="2"/>
    </row>
    <row r="620" spans="1:4" ht="16.5" customHeight="1">
      <c r="A620" s="167"/>
      <c r="B620" s="167"/>
      <c r="C620" s="11"/>
      <c r="D620" s="2"/>
    </row>
    <row r="621" spans="1:4" ht="16.5" customHeight="1">
      <c r="A621" s="167"/>
      <c r="B621" s="167"/>
      <c r="C621" s="11"/>
      <c r="D621" s="2"/>
    </row>
    <row r="622" spans="1:4" ht="16.5" customHeight="1">
      <c r="A622" s="167"/>
      <c r="B622" s="167"/>
      <c r="C622" s="11"/>
      <c r="D622" s="2"/>
    </row>
    <row r="623" spans="1:4" ht="16.5" customHeight="1">
      <c r="A623" s="167"/>
      <c r="B623" s="167"/>
      <c r="C623" s="11"/>
      <c r="D623" s="2"/>
    </row>
    <row r="624" spans="1:4" ht="16.5" customHeight="1">
      <c r="A624" s="167"/>
      <c r="B624" s="167"/>
      <c r="C624" s="11"/>
      <c r="D624" s="2"/>
    </row>
    <row r="625" spans="1:4" ht="16.5" customHeight="1">
      <c r="A625" s="167"/>
      <c r="B625" s="167"/>
      <c r="C625" s="11"/>
      <c r="D625" s="2"/>
    </row>
    <row r="626" spans="1:4" ht="16.5" customHeight="1">
      <c r="A626" s="167"/>
      <c r="B626" s="167"/>
      <c r="C626" s="11"/>
      <c r="D626" s="2"/>
    </row>
    <row r="627" spans="1:4" ht="16.5" customHeight="1">
      <c r="A627" s="167"/>
      <c r="B627" s="167"/>
      <c r="C627" s="11"/>
      <c r="D627" s="2"/>
    </row>
    <row r="628" spans="1:4" ht="16.5" customHeight="1">
      <c r="A628" s="167"/>
      <c r="B628" s="167"/>
      <c r="C628" s="11"/>
      <c r="D628" s="2"/>
    </row>
    <row r="629" spans="1:4" ht="16.5" customHeight="1">
      <c r="A629" s="167"/>
      <c r="B629" s="167"/>
      <c r="C629" s="11"/>
      <c r="D629" s="2"/>
    </row>
    <row r="630" spans="1:4" ht="16.5" customHeight="1">
      <c r="A630" s="167"/>
      <c r="B630" s="167"/>
      <c r="C630" s="11"/>
      <c r="D630" s="2"/>
    </row>
    <row r="631" spans="1:4" ht="16.5" customHeight="1">
      <c r="A631" s="167"/>
      <c r="B631" s="167"/>
      <c r="C631" s="11"/>
      <c r="D631" s="2"/>
    </row>
    <row r="632" spans="1:4" ht="16.5" customHeight="1">
      <c r="A632" s="167"/>
      <c r="B632" s="167"/>
      <c r="C632" s="11"/>
      <c r="D632" s="2"/>
    </row>
    <row r="633" spans="1:4" ht="16.5" customHeight="1">
      <c r="A633" s="167"/>
      <c r="B633" s="167"/>
      <c r="C633" s="11"/>
      <c r="D633" s="2"/>
    </row>
    <row r="634" spans="1:4" ht="16.5" customHeight="1">
      <c r="A634" s="167"/>
      <c r="B634" s="167"/>
      <c r="C634" s="11"/>
      <c r="D634" s="2"/>
    </row>
    <row r="635" spans="1:4" ht="16.5" customHeight="1">
      <c r="A635" s="167"/>
      <c r="B635" s="169"/>
      <c r="C635" s="11"/>
      <c r="D635" s="2"/>
    </row>
    <row r="636" spans="1:4" ht="16.5" customHeight="1">
      <c r="A636" s="167"/>
      <c r="B636" s="170"/>
      <c r="C636" s="11"/>
      <c r="D636" s="2"/>
    </row>
    <row r="637" spans="1:4" ht="16.5" customHeight="1">
      <c r="A637" s="167"/>
      <c r="B637" s="167"/>
      <c r="C637" s="11"/>
      <c r="D637" s="2"/>
    </row>
    <row r="638" spans="1:4" ht="16.5" customHeight="1">
      <c r="A638" s="167"/>
      <c r="B638" s="167"/>
      <c r="C638" s="11"/>
      <c r="D638" s="2"/>
    </row>
    <row r="639" spans="1:4" ht="16.5" customHeight="1">
      <c r="A639" s="167"/>
      <c r="B639" s="167"/>
      <c r="C639" s="11"/>
      <c r="D639" s="2"/>
    </row>
    <row r="640" spans="1:4" ht="16.5" customHeight="1">
      <c r="A640" s="167"/>
      <c r="B640" s="167"/>
      <c r="C640" s="11"/>
      <c r="D640" s="2"/>
    </row>
    <row r="641" spans="1:4" ht="16.5" customHeight="1">
      <c r="A641" s="167"/>
      <c r="B641" s="167"/>
      <c r="C641" s="11"/>
      <c r="D641" s="2"/>
    </row>
    <row r="642" spans="1:4" ht="16.5" customHeight="1">
      <c r="A642" s="167"/>
      <c r="B642" s="167"/>
      <c r="C642" s="11"/>
      <c r="D642" s="2"/>
    </row>
    <row r="643" spans="1:4" ht="16.5" customHeight="1">
      <c r="A643" s="167"/>
      <c r="B643" s="167"/>
      <c r="C643" s="11"/>
      <c r="D643" s="2"/>
    </row>
    <row r="644" spans="1:4" ht="16.5" customHeight="1">
      <c r="A644" s="160"/>
      <c r="B644" s="160"/>
      <c r="C644" s="11"/>
      <c r="D644" s="2"/>
    </row>
    <row r="645" spans="1:4" ht="16.5" customHeight="1">
      <c r="A645" s="160"/>
      <c r="B645" s="160"/>
      <c r="C645" s="11"/>
      <c r="D645" s="2"/>
    </row>
    <row r="646" spans="1:4" ht="16.5" customHeight="1">
      <c r="A646" s="160"/>
      <c r="B646" s="160"/>
      <c r="C646" s="11"/>
      <c r="D646" s="2"/>
    </row>
    <row r="647" spans="1:4" ht="16.5" customHeight="1">
      <c r="A647" s="160"/>
      <c r="B647" s="160"/>
      <c r="C647" s="11"/>
      <c r="D647" s="2"/>
    </row>
    <row r="648" spans="1:4" ht="16.5" customHeight="1">
      <c r="A648" s="160"/>
      <c r="B648" s="160"/>
      <c r="C648" s="11"/>
      <c r="D648" s="2"/>
    </row>
    <row r="649" spans="1:4" ht="16.5" customHeight="1">
      <c r="A649" s="160"/>
      <c r="B649" s="160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2:4" ht="16.5" customHeight="1">
      <c r="B659" s="155"/>
      <c r="C659" s="11"/>
      <c r="D659" s="2"/>
    </row>
    <row r="660" spans="2:4" ht="16.5" customHeight="1">
      <c r="B660" s="155"/>
      <c r="C660" s="11"/>
      <c r="D660" s="2"/>
    </row>
    <row r="661" spans="2:4" ht="16.5" customHeight="1">
      <c r="B661" s="155"/>
      <c r="C661" s="11"/>
      <c r="D661" s="2"/>
    </row>
    <row r="662" spans="2:4" ht="16.5" customHeight="1">
      <c r="B662" s="155"/>
      <c r="C662" s="11"/>
      <c r="D662" s="2"/>
    </row>
    <row r="663" spans="2:4" ht="16.5" customHeight="1">
      <c r="B663" s="155"/>
      <c r="C663" s="11"/>
      <c r="D663" s="2"/>
    </row>
    <row r="664" spans="2:4" ht="16.5" customHeight="1">
      <c r="B664" s="155"/>
      <c r="C664" s="11"/>
      <c r="D664" s="2"/>
    </row>
    <row r="665" spans="2:4" ht="16.5" customHeight="1">
      <c r="B665" s="155"/>
      <c r="C665" s="11"/>
      <c r="D665" s="2"/>
    </row>
    <row r="666" spans="2:4" ht="16.5" customHeight="1">
      <c r="B666" s="155"/>
      <c r="C666" s="11"/>
      <c r="D666" s="2"/>
    </row>
    <row r="667" spans="2:4" ht="16.5" customHeight="1">
      <c r="B667" s="155"/>
      <c r="C667" s="11"/>
      <c r="D667" s="2"/>
    </row>
    <row r="668" spans="2:4" ht="16.5" customHeight="1">
      <c r="B668" s="155"/>
      <c r="C668" s="11"/>
      <c r="D668" s="2"/>
    </row>
    <row r="669" spans="2:4" ht="16.5" customHeight="1">
      <c r="B669" s="155"/>
      <c r="C669" s="11"/>
      <c r="D669" s="2"/>
    </row>
    <row r="670" spans="2:4" ht="16.5" customHeight="1">
      <c r="B670" s="155"/>
      <c r="C670" s="11"/>
      <c r="D670" s="2"/>
    </row>
    <row r="671" spans="2:4" ht="16.5" customHeight="1">
      <c r="B671" s="155"/>
      <c r="C671" s="11"/>
      <c r="D671" s="2"/>
    </row>
    <row r="672" spans="2:4" ht="16.5" customHeight="1">
      <c r="B672" s="155"/>
      <c r="C672" s="11"/>
      <c r="D672" s="2"/>
    </row>
    <row r="673" spans="2:4" ht="16.5" customHeight="1">
      <c r="B673" s="155"/>
      <c r="C673" s="11"/>
      <c r="D673" s="2"/>
    </row>
    <row r="674" spans="2:4" ht="16.5" customHeight="1">
      <c r="B674" s="155"/>
      <c r="C674" s="11"/>
      <c r="D674" s="2"/>
    </row>
    <row r="675" spans="2:4" ht="16.5" customHeight="1">
      <c r="B675" s="155"/>
      <c r="C675" s="11"/>
      <c r="D675" s="2"/>
    </row>
    <row r="676" spans="2:4" ht="16.5" customHeight="1">
      <c r="B676" s="155"/>
      <c r="C676" s="11"/>
      <c r="D676" s="2"/>
    </row>
    <row r="677" spans="2:4" ht="16.5" customHeight="1">
      <c r="B677" s="155"/>
      <c r="C677" s="11"/>
      <c r="D677" s="2"/>
    </row>
    <row r="678" spans="2:4" ht="16.5" customHeight="1">
      <c r="B678" s="155"/>
      <c r="C678" s="11"/>
      <c r="D678" s="2"/>
    </row>
    <row r="679" spans="2:4" ht="16.5" customHeight="1">
      <c r="B679" s="155"/>
      <c r="C679" s="11"/>
      <c r="D679" s="2"/>
    </row>
    <row r="680" spans="2:4" ht="16.5" customHeight="1">
      <c r="B680" s="155"/>
      <c r="C680" s="11"/>
      <c r="D680" s="2"/>
    </row>
    <row r="681" spans="2:4" ht="16.5" customHeight="1">
      <c r="B681" s="155"/>
      <c r="C681" s="11"/>
      <c r="D681" s="2"/>
    </row>
    <row r="682" spans="2:4" ht="16.5" customHeight="1">
      <c r="B682" s="155"/>
      <c r="C682" s="11"/>
      <c r="D682" s="2"/>
    </row>
    <row r="683" spans="2:4" ht="16.5" customHeight="1">
      <c r="B683" s="155"/>
      <c r="C683" s="11"/>
      <c r="D683" s="2"/>
    </row>
    <row r="684" spans="2:4" ht="16.5" customHeight="1">
      <c r="B684" s="155"/>
      <c r="C684" s="11"/>
      <c r="D684" s="2"/>
    </row>
    <row r="685" spans="2:4" ht="16.5" customHeight="1">
      <c r="B685" s="155"/>
      <c r="C685" s="11"/>
      <c r="D685" s="2"/>
    </row>
    <row r="686" spans="2:4" ht="16.5" customHeight="1">
      <c r="B686" s="155"/>
      <c r="C686" s="11"/>
      <c r="D686" s="2"/>
    </row>
    <row r="687" spans="2:4" ht="16.5" customHeight="1">
      <c r="B687" s="155"/>
      <c r="C687" s="11"/>
      <c r="D687" s="2"/>
    </row>
    <row r="688" spans="2:4" ht="16.5" customHeight="1">
      <c r="B688" s="155"/>
      <c r="C688" s="11"/>
      <c r="D688" s="2"/>
    </row>
    <row r="689" spans="2:4" ht="16.5" customHeight="1">
      <c r="B689" s="155"/>
      <c r="C689" s="11"/>
      <c r="D689" s="2"/>
    </row>
    <row r="690" spans="2:4" ht="16.5" customHeight="1">
      <c r="B690" s="155"/>
      <c r="C690" s="11"/>
      <c r="D690" s="2"/>
    </row>
    <row r="691" spans="2:4" ht="16.5" customHeight="1">
      <c r="B691" s="155"/>
      <c r="C691" s="11"/>
      <c r="D691" s="2"/>
    </row>
    <row r="692" spans="2:4" ht="16.5" customHeight="1">
      <c r="B692" s="155"/>
      <c r="C692" s="11"/>
      <c r="D692" s="2"/>
    </row>
    <row r="693" spans="2:4" ht="16.5" customHeight="1">
      <c r="B693" s="155"/>
      <c r="C693" s="11"/>
      <c r="D693" s="2"/>
    </row>
    <row r="694" spans="2:4" ht="16.5" customHeight="1">
      <c r="B694" s="155"/>
      <c r="C694" s="11"/>
      <c r="D694" s="2"/>
    </row>
    <row r="695" spans="2:4" ht="16.5" customHeight="1">
      <c r="B695" s="155"/>
      <c r="C695" s="11"/>
      <c r="D695" s="2"/>
    </row>
    <row r="696" spans="2:4" ht="16.5" customHeight="1">
      <c r="B696" s="155"/>
      <c r="C696" s="11"/>
      <c r="D696" s="2"/>
    </row>
    <row r="697" spans="2:4" ht="16.5" customHeight="1">
      <c r="B697" s="155"/>
      <c r="C697" s="11"/>
      <c r="D697" s="2"/>
    </row>
    <row r="698" spans="2:4" ht="16.5" customHeight="1">
      <c r="B698" s="155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</sheetData>
  <sheetProtection/>
  <mergeCells count="8">
    <mergeCell ref="A3:D3"/>
    <mergeCell ref="A56:D56"/>
    <mergeCell ref="A57:D57"/>
    <mergeCell ref="A1:D1"/>
    <mergeCell ref="A2:D2"/>
    <mergeCell ref="A45:D45"/>
    <mergeCell ref="A46:D46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37" t="s">
        <v>64</v>
      </c>
      <c r="B2" s="337"/>
      <c r="C2" s="337"/>
      <c r="D2" s="337"/>
      <c r="E2" s="337"/>
      <c r="F2" s="337"/>
      <c r="G2" s="350" t="s">
        <v>65</v>
      </c>
      <c r="H2" s="337"/>
      <c r="I2" s="337"/>
      <c r="J2" s="337"/>
    </row>
    <row r="3" spans="1:10" ht="23.25">
      <c r="A3" s="337" t="s">
        <v>66</v>
      </c>
      <c r="B3" s="337"/>
      <c r="C3" s="337"/>
      <c r="D3" s="337"/>
      <c r="E3" s="337"/>
      <c r="F3" s="337"/>
      <c r="G3" s="350" t="s">
        <v>89</v>
      </c>
      <c r="H3" s="337"/>
      <c r="I3" s="337"/>
      <c r="J3" s="337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43" t="s">
        <v>555</v>
      </c>
      <c r="B5" s="343"/>
      <c r="C5" s="343"/>
      <c r="D5" s="343"/>
      <c r="E5" s="343"/>
      <c r="F5" s="344"/>
      <c r="G5" s="30"/>
      <c r="H5" s="30"/>
      <c r="I5" s="30"/>
      <c r="J5" s="31">
        <v>11012200.61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9" t="s">
        <v>67</v>
      </c>
      <c r="B7" s="349"/>
      <c r="C7" s="349"/>
      <c r="D7" s="349"/>
      <c r="E7" s="349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556</v>
      </c>
      <c r="B9" s="34"/>
      <c r="C9" s="55" t="s">
        <v>557</v>
      </c>
      <c r="D9" s="34"/>
      <c r="E9" s="34"/>
      <c r="F9" s="35">
        <v>13297.7</v>
      </c>
      <c r="G9" s="30"/>
      <c r="H9" s="30"/>
      <c r="I9" s="30"/>
      <c r="J9" s="31"/>
    </row>
    <row r="10" spans="1:10" ht="23.25">
      <c r="A10" s="55" t="s">
        <v>556</v>
      </c>
      <c r="B10" s="34"/>
      <c r="C10" s="55" t="s">
        <v>558</v>
      </c>
      <c r="D10" s="34"/>
      <c r="E10" s="34"/>
      <c r="F10" s="35">
        <v>10409.06</v>
      </c>
      <c r="G10" s="30"/>
      <c r="H10" s="30"/>
      <c r="I10" s="30"/>
      <c r="J10" s="31">
        <v>23706.76</v>
      </c>
    </row>
    <row r="11" spans="1:10" ht="23.25">
      <c r="A11" s="346" t="s">
        <v>571</v>
      </c>
      <c r="B11" s="346"/>
      <c r="C11" s="346"/>
      <c r="D11" s="346"/>
      <c r="E11" s="346"/>
      <c r="F11" s="336"/>
      <c r="G11" s="30"/>
      <c r="H11" s="30"/>
      <c r="I11" s="30"/>
      <c r="J11" s="37"/>
    </row>
    <row r="12" spans="1:10" ht="23.25">
      <c r="A12" s="55" t="s">
        <v>550</v>
      </c>
      <c r="B12" s="34"/>
      <c r="C12" s="54" t="s">
        <v>572</v>
      </c>
      <c r="D12" s="54"/>
      <c r="E12" s="34"/>
      <c r="F12" s="36">
        <v>3180.21</v>
      </c>
      <c r="G12" s="30"/>
      <c r="H12" s="30"/>
      <c r="I12" s="30"/>
      <c r="J12" s="37">
        <v>3180.21</v>
      </c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55"/>
      <c r="B21" s="34"/>
      <c r="C21" s="55"/>
      <c r="D21" s="34"/>
      <c r="E21" s="34"/>
      <c r="F21" s="36"/>
      <c r="G21" s="30"/>
      <c r="H21" s="30"/>
      <c r="I21" s="30"/>
      <c r="J21" s="31"/>
    </row>
    <row r="22" spans="1:10" ht="23.25">
      <c r="A22" s="346"/>
      <c r="B22" s="346"/>
      <c r="C22" s="346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278"/>
      <c r="C23" s="278"/>
      <c r="D23" s="34"/>
      <c r="E23" s="34"/>
      <c r="F23" s="36"/>
      <c r="G23" s="30"/>
      <c r="H23" s="30"/>
      <c r="I23" s="30"/>
      <c r="J23" s="31"/>
    </row>
    <row r="24" spans="1:10" ht="23.25">
      <c r="A24" s="55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54"/>
      <c r="B25" s="34"/>
      <c r="C25" s="55"/>
      <c r="D25" s="34"/>
      <c r="E25" s="34"/>
      <c r="F25" s="36"/>
      <c r="G25" s="30"/>
      <c r="H25" s="30"/>
      <c r="I25" s="30"/>
      <c r="J25" s="31"/>
    </row>
    <row r="26" spans="1:10" ht="23.25">
      <c r="A26" s="341" t="s">
        <v>559</v>
      </c>
      <c r="B26" s="341"/>
      <c r="C26" s="341"/>
      <c r="D26" s="341"/>
      <c r="E26" s="341"/>
      <c r="F26" s="347"/>
      <c r="G26" s="30"/>
      <c r="H26" s="30"/>
      <c r="I26" s="30"/>
      <c r="J26" s="31">
        <f>SUM(J5-J10-J12)</f>
        <v>10985313.639999999</v>
      </c>
    </row>
    <row r="27" spans="1:10" ht="23.25">
      <c r="A27" s="54"/>
      <c r="B27" s="34"/>
      <c r="C27" s="54"/>
      <c r="D27" s="34"/>
      <c r="E27" s="34"/>
      <c r="F27" s="38"/>
      <c r="G27" s="30"/>
      <c r="H27" s="30"/>
      <c r="I27" s="30"/>
      <c r="J27" s="31" t="s">
        <v>254</v>
      </c>
    </row>
    <row r="28" spans="1:10" ht="23.25">
      <c r="A28" s="56" t="s">
        <v>71</v>
      </c>
      <c r="B28" s="39"/>
      <c r="C28" s="56"/>
      <c r="D28" s="39"/>
      <c r="E28" s="39"/>
      <c r="F28" s="40"/>
      <c r="G28" s="348" t="s">
        <v>72</v>
      </c>
      <c r="H28" s="343"/>
      <c r="I28" s="343"/>
      <c r="J28" s="343"/>
    </row>
    <row r="29" spans="1:10" ht="23.25">
      <c r="A29" s="53"/>
      <c r="B29" s="32"/>
      <c r="C29" s="53"/>
      <c r="D29" s="32"/>
      <c r="E29" s="32"/>
      <c r="F29" s="36"/>
      <c r="G29" s="32"/>
      <c r="H29" s="32"/>
      <c r="I29" s="32"/>
      <c r="J29" s="32"/>
    </row>
    <row r="30" spans="1:10" ht="23.25">
      <c r="A30" s="335" t="s">
        <v>562</v>
      </c>
      <c r="B30" s="335"/>
      <c r="C30" s="335"/>
      <c r="D30" s="335"/>
      <c r="E30" s="335"/>
      <c r="F30" s="336"/>
      <c r="G30" s="338" t="s">
        <v>560</v>
      </c>
      <c r="H30" s="339"/>
      <c r="I30" s="339"/>
      <c r="J30" s="339"/>
    </row>
    <row r="31" spans="1:10" ht="23.25">
      <c r="A31" s="339" t="s">
        <v>561</v>
      </c>
      <c r="B31" s="339"/>
      <c r="C31" s="339"/>
      <c r="D31" s="339"/>
      <c r="E31" s="32"/>
      <c r="F31" s="36"/>
      <c r="G31" s="338" t="s">
        <v>506</v>
      </c>
      <c r="H31" s="339"/>
      <c r="I31" s="339"/>
      <c r="J31" s="339"/>
    </row>
    <row r="32" spans="1:10" ht="23.25">
      <c r="A32" s="57"/>
      <c r="B32" s="41"/>
      <c r="C32" s="57"/>
      <c r="D32" s="41"/>
      <c r="E32" s="41"/>
      <c r="F32" s="38"/>
      <c r="G32" s="42"/>
      <c r="H32" s="42"/>
      <c r="I32" s="42"/>
      <c r="J32" s="43"/>
    </row>
  </sheetData>
  <sheetProtection/>
  <mergeCells count="14">
    <mergeCell ref="G2:J2"/>
    <mergeCell ref="A3:F3"/>
    <mergeCell ref="G3:J3"/>
    <mergeCell ref="A5:F5"/>
    <mergeCell ref="A2:F2"/>
    <mergeCell ref="A26:F26"/>
    <mergeCell ref="A31:D31"/>
    <mergeCell ref="G31:J31"/>
    <mergeCell ref="A7:E7"/>
    <mergeCell ref="A30:F30"/>
    <mergeCell ref="G30:J30"/>
    <mergeCell ref="G28:J28"/>
    <mergeCell ref="A22:C22"/>
    <mergeCell ref="A11:F1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103">
      <selection activeCell="N126" sqref="N126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16.5">
      <c r="A2" s="351" t="s">
        <v>482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ht="16.5">
      <c r="A3" s="352" t="s">
        <v>565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55" t="s">
        <v>393</v>
      </c>
      <c r="N5" s="356"/>
      <c r="O5" s="355" t="s">
        <v>100</v>
      </c>
      <c r="P5" s="356"/>
      <c r="Q5" s="214" t="s">
        <v>114</v>
      </c>
      <c r="R5" s="357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468</v>
      </c>
      <c r="N6" s="87" t="s">
        <v>392</v>
      </c>
      <c r="O6" s="87" t="s">
        <v>110</v>
      </c>
      <c r="P6" s="87" t="s">
        <v>111</v>
      </c>
      <c r="Q6" s="192" t="s">
        <v>115</v>
      </c>
      <c r="R6" s="358"/>
    </row>
    <row r="7" spans="1:18" ht="14.25">
      <c r="A7" s="88" t="s">
        <v>256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257</v>
      </c>
      <c r="B8" s="67">
        <f>94000-6152-5752-5752-5752-5752-5752-5560</f>
        <v>53528</v>
      </c>
      <c r="C8" s="67" t="s">
        <v>254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53528</v>
      </c>
    </row>
    <row r="9" spans="1:18" ht="14.25">
      <c r="A9" s="90" t="s">
        <v>258</v>
      </c>
      <c r="B9" s="70">
        <f>30000-2500-2500-2000-2000-2000-2000-2000</f>
        <v>15000</v>
      </c>
      <c r="C9" s="70"/>
      <c r="D9" s="70"/>
      <c r="E9" s="70"/>
      <c r="F9" s="70" t="s">
        <v>254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15000</v>
      </c>
    </row>
    <row r="10" spans="1:18" ht="14.25">
      <c r="A10" s="90" t="s">
        <v>259</v>
      </c>
      <c r="B10" s="70">
        <f>287540-46000-14445</f>
        <v>227095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227095</v>
      </c>
    </row>
    <row r="11" spans="1:18" ht="14.25">
      <c r="A11" s="90" t="s">
        <v>260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261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505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315629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315629</v>
      </c>
    </row>
    <row r="15" spans="1:18" ht="15" thickTop="1">
      <c r="A15" s="92" t="s">
        <v>262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263</v>
      </c>
      <c r="B16" s="76"/>
      <c r="C16" s="70">
        <f>520000-42840-42840-42840-42840-42840-42840-42840</f>
        <v>220120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220120</v>
      </c>
    </row>
    <row r="17" spans="1:18" ht="14.25">
      <c r="A17" s="89" t="s">
        <v>264</v>
      </c>
      <c r="B17" s="77"/>
      <c r="C17" s="77">
        <f>43000-3510-3510-3510-3510-3510-3510-3510</f>
        <v>18430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18430</v>
      </c>
    </row>
    <row r="18" spans="1:18" ht="14.25">
      <c r="A18" s="90" t="s">
        <v>265</v>
      </c>
      <c r="B18" s="76"/>
      <c r="C18" s="76">
        <f>43000-3510-3510-3510-3510-3510-3510-3510</f>
        <v>18430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18430</v>
      </c>
    </row>
    <row r="19" spans="1:18" ht="14.25">
      <c r="A19" s="90" t="s">
        <v>266</v>
      </c>
      <c r="B19" s="76"/>
      <c r="C19" s="70">
        <f>87000-7200-7200-7200-7200-7200-7200-7200</f>
        <v>36600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36600</v>
      </c>
    </row>
    <row r="20" spans="1:18" ht="14.25">
      <c r="A20" s="89" t="s">
        <v>267</v>
      </c>
      <c r="B20" s="77"/>
      <c r="C20" s="77">
        <f>2059600-171600-171600-171600-171600-171600-171600-171600</f>
        <v>858400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858400</v>
      </c>
    </row>
    <row r="21" spans="1:18" ht="14.25">
      <c r="A21" s="90" t="s">
        <v>268</v>
      </c>
      <c r="B21" s="76"/>
      <c r="C21" s="70">
        <f>87000-7200-7200-7200-7200-7200-7200-7200</f>
        <v>36600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36600</v>
      </c>
    </row>
    <row r="22" spans="1:18" ht="15" thickBot="1">
      <c r="A22" s="90" t="s">
        <v>36</v>
      </c>
      <c r="B22" s="93"/>
      <c r="C22" s="80">
        <f>SUM(C16:C21)</f>
        <v>1188580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1188580</v>
      </c>
    </row>
    <row r="23" spans="1:18" ht="15" thickTop="1">
      <c r="A23" s="89" t="s">
        <v>269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270</v>
      </c>
      <c r="B24" s="76"/>
      <c r="C24" s="76">
        <f>2166000-170400-169270-169270-241193-174610-174610-178780</f>
        <v>887867</v>
      </c>
      <c r="D24" s="76"/>
      <c r="E24" s="76">
        <f>1123800-87010-87010-87010-137229-90340-90340-92440</f>
        <v>452421</v>
      </c>
      <c r="F24" s="76"/>
      <c r="G24" s="76">
        <f>280500-21620-21620-21620-33460-22490-22490-23080</f>
        <v>114120</v>
      </c>
      <c r="H24" s="76"/>
      <c r="I24" s="76">
        <v>189600</v>
      </c>
      <c r="J24" s="76"/>
      <c r="K24" s="76">
        <f>720000-54890-54890-54890-72101-66444-59730-59850</f>
        <v>297205</v>
      </c>
      <c r="L24" s="76"/>
      <c r="M24" s="76"/>
      <c r="N24" s="76"/>
      <c r="O24" s="76"/>
      <c r="P24" s="70"/>
      <c r="Q24" s="76"/>
      <c r="R24" s="70">
        <f>SUM(C24:Q24)</f>
        <v>1941213</v>
      </c>
    </row>
    <row r="25" spans="1:18" ht="14.25">
      <c r="A25" s="90" t="s">
        <v>271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24000-2000-2000-2000-2000-1775-1775-1325</f>
        <v>11125</v>
      </c>
      <c r="L25" s="76"/>
      <c r="M25" s="76"/>
      <c r="N25" s="76"/>
      <c r="O25" s="76"/>
      <c r="P25" s="70"/>
      <c r="Q25" s="76"/>
      <c r="R25" s="70">
        <f>SUM(C25:P25)</f>
        <v>11125</v>
      </c>
    </row>
    <row r="26" spans="1:18" ht="14.25">
      <c r="A26" s="89" t="s">
        <v>272</v>
      </c>
      <c r="B26" s="77"/>
      <c r="C26" s="77">
        <f>176500-14700-14700-14700-14700-14700-14700-14700</f>
        <v>73600</v>
      </c>
      <c r="D26" s="77"/>
      <c r="E26" s="77">
        <f>42000-3500-3500-3500-3500-3500-3500-3500</f>
        <v>17500</v>
      </c>
      <c r="F26" s="77"/>
      <c r="G26" s="77">
        <f>42000-3500-3500-3500-3500-3500-3500-3500</f>
        <v>17500</v>
      </c>
      <c r="H26" s="77"/>
      <c r="I26" s="77">
        <v>42000</v>
      </c>
      <c r="J26" s="77"/>
      <c r="K26" s="77">
        <f>42000-3500-3500-3500-3500-3500-3500-3500</f>
        <v>17500</v>
      </c>
      <c r="L26" s="77"/>
      <c r="M26" s="77"/>
      <c r="N26" s="77"/>
      <c r="O26" s="77"/>
      <c r="P26" s="67"/>
      <c r="Q26" s="77"/>
      <c r="R26" s="67">
        <f>SUM(C26:P26)</f>
        <v>168100</v>
      </c>
    </row>
    <row r="27" spans="1:18" ht="15" thickBot="1">
      <c r="A27" s="90" t="s">
        <v>36</v>
      </c>
      <c r="B27" s="93"/>
      <c r="C27" s="80">
        <f>SUM(C24:C26)</f>
        <v>961467</v>
      </c>
      <c r="D27" s="93"/>
      <c r="E27" s="93">
        <f>SUM(E24:E26)</f>
        <v>469921</v>
      </c>
      <c r="F27" s="93">
        <v>0</v>
      </c>
      <c r="G27" s="93">
        <f>SUM(G24:G26)</f>
        <v>131620</v>
      </c>
      <c r="H27" s="93">
        <v>0</v>
      </c>
      <c r="I27" s="93">
        <f>SUM(I24:I26)</f>
        <v>231600</v>
      </c>
      <c r="J27" s="93">
        <v>0</v>
      </c>
      <c r="K27" s="93">
        <f>SUM(K24:K26)</f>
        <v>325830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2120438</v>
      </c>
    </row>
    <row r="28" spans="1:18" ht="15" thickTop="1">
      <c r="A28" s="89" t="s">
        <v>269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273</v>
      </c>
      <c r="B29" s="76"/>
      <c r="C29" s="76">
        <f>170000-12810-12810-12810-13385-13310-13310-13760</f>
        <v>77805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77805</v>
      </c>
    </row>
    <row r="30" spans="1:18" ht="14.25">
      <c r="A30" s="89" t="s">
        <v>274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88380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88380</v>
      </c>
    </row>
    <row r="32" ht="15" thickTop="1">
      <c r="C32" s="196"/>
    </row>
    <row r="43" spans="1:18" s="64" customFormat="1" ht="14.25">
      <c r="A43" s="65" t="s">
        <v>116</v>
      </c>
      <c r="B43" s="353" t="s">
        <v>93</v>
      </c>
      <c r="C43" s="354" t="s">
        <v>94</v>
      </c>
      <c r="D43" s="354"/>
      <c r="E43" s="354"/>
      <c r="F43" s="87" t="s">
        <v>95</v>
      </c>
      <c r="G43" s="354" t="s">
        <v>96</v>
      </c>
      <c r="H43" s="354"/>
      <c r="I43" s="354" t="s">
        <v>97</v>
      </c>
      <c r="J43" s="354"/>
      <c r="K43" s="354" t="s">
        <v>99</v>
      </c>
      <c r="L43" s="354"/>
      <c r="M43" s="355" t="s">
        <v>393</v>
      </c>
      <c r="N43" s="356"/>
      <c r="O43" s="354" t="s">
        <v>100</v>
      </c>
      <c r="P43" s="354"/>
      <c r="Q43" s="214"/>
      <c r="R43" s="357" t="s">
        <v>19</v>
      </c>
    </row>
    <row r="44" spans="1:18" s="64" customFormat="1" ht="14.25">
      <c r="A44" s="66" t="s">
        <v>117</v>
      </c>
      <c r="B44" s="353"/>
      <c r="C44" s="87" t="s">
        <v>101</v>
      </c>
      <c r="D44" s="87" t="s">
        <v>112</v>
      </c>
      <c r="E44" s="87" t="s">
        <v>102</v>
      </c>
      <c r="F44" s="87" t="s">
        <v>103</v>
      </c>
      <c r="G44" s="87" t="s">
        <v>104</v>
      </c>
      <c r="H44" s="87" t="s">
        <v>105</v>
      </c>
      <c r="I44" s="87" t="s">
        <v>106</v>
      </c>
      <c r="J44" s="87" t="s">
        <v>107</v>
      </c>
      <c r="K44" s="87" t="s">
        <v>108</v>
      </c>
      <c r="L44" s="87" t="s">
        <v>109</v>
      </c>
      <c r="M44" s="87" t="s">
        <v>468</v>
      </c>
      <c r="N44" s="87" t="s">
        <v>392</v>
      </c>
      <c r="O44" s="87" t="s">
        <v>110</v>
      </c>
      <c r="P44" s="87" t="s">
        <v>111</v>
      </c>
      <c r="Q44" s="192" t="s">
        <v>115</v>
      </c>
      <c r="R44" s="358"/>
    </row>
    <row r="45" spans="1:18" ht="14.25">
      <c r="A45" s="92" t="s">
        <v>269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275</v>
      </c>
      <c r="B46" s="70"/>
      <c r="C46" s="70">
        <f>376000-29760-29760-29760-29760-29760-29760-29760</f>
        <v>167680</v>
      </c>
      <c r="D46" s="70"/>
      <c r="E46" s="70">
        <f>451000-21150-21150-21150-21150-21150-21150-21150</f>
        <v>302950</v>
      </c>
      <c r="F46" s="70"/>
      <c r="G46" s="70">
        <f>444500-26620-26620-26620-26620-26620-26620-20153</f>
        <v>264627</v>
      </c>
      <c r="H46" s="70">
        <f>51000-51000</f>
        <v>0</v>
      </c>
      <c r="I46" s="70">
        <f>112500-9000-9000-9000-9000-9000-9000-9000</f>
        <v>49500</v>
      </c>
      <c r="J46" s="70"/>
      <c r="K46" s="70">
        <f>240000-19080-19080-19080-19080-19080-19080-19080</f>
        <v>106440</v>
      </c>
      <c r="L46" s="70"/>
      <c r="M46" s="70"/>
      <c r="N46" s="70"/>
      <c r="O46" s="70"/>
      <c r="P46" s="70"/>
      <c r="Q46" s="70"/>
      <c r="R46" s="70">
        <f>SUM(C46:Q46)</f>
        <v>891197</v>
      </c>
    </row>
    <row r="47" spans="1:18" ht="14.25">
      <c r="A47" s="89" t="s">
        <v>276</v>
      </c>
      <c r="B47" s="67"/>
      <c r="C47" s="67">
        <f>60000-4925-4925-4925-4925-4925-4925-4925</f>
        <v>25525</v>
      </c>
      <c r="D47" s="67"/>
      <c r="E47" s="67">
        <f>36000-2135-2135-2135-2135-2135-2135-2135</f>
        <v>21055</v>
      </c>
      <c r="F47" s="67"/>
      <c r="G47" s="67">
        <f>24000-1000-1000-1000-1000-1000-1000-1000</f>
        <v>17000</v>
      </c>
      <c r="H47" s="67"/>
      <c r="I47" s="67">
        <f>12000-1000-1000-1000-1000-1000-1000-1000</f>
        <v>5000</v>
      </c>
      <c r="J47" s="67"/>
      <c r="K47" s="67">
        <f>36000-3000-3000-3000-3000-3000-3000-3000</f>
        <v>15000</v>
      </c>
      <c r="L47" s="67"/>
      <c r="M47" s="67"/>
      <c r="N47" s="67"/>
      <c r="O47" s="67"/>
      <c r="P47" s="67"/>
      <c r="Q47" s="67"/>
      <c r="R47" s="67">
        <f>SUM(C47:Q47)</f>
        <v>83580</v>
      </c>
    </row>
    <row r="48" spans="1:18" ht="15" thickBot="1">
      <c r="A48" s="90" t="s">
        <v>36</v>
      </c>
      <c r="B48" s="61"/>
      <c r="C48" s="72">
        <f>SUM(C46:C47)</f>
        <v>193205</v>
      </c>
      <c r="D48" s="61">
        <f>SUM(D46:D47)</f>
        <v>0</v>
      </c>
      <c r="E48" s="61">
        <f>SUM(E45:E47)</f>
        <v>324005</v>
      </c>
      <c r="F48" s="61">
        <v>0</v>
      </c>
      <c r="G48" s="61">
        <f>SUM(G46:G47)</f>
        <v>281627</v>
      </c>
      <c r="H48" s="61">
        <f>SUM(H46)</f>
        <v>0</v>
      </c>
      <c r="I48" s="61">
        <f>SUM(I46:I47)</f>
        <v>54500</v>
      </c>
      <c r="J48" s="61">
        <v>0</v>
      </c>
      <c r="K48" s="61">
        <f>SUM(K46:K47)</f>
        <v>121440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974777</v>
      </c>
    </row>
    <row r="49" spans="1:18" ht="15" thickTop="1">
      <c r="A49" s="92" t="s">
        <v>277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278</v>
      </c>
      <c r="B50" s="76"/>
      <c r="C50" s="76">
        <f>220000-6763-40000</f>
        <v>173237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</f>
        <v>121300</v>
      </c>
      <c r="L50" s="76">
        <v>0</v>
      </c>
      <c r="M50" s="76"/>
      <c r="N50" s="76"/>
      <c r="O50" s="76"/>
      <c r="P50" s="70"/>
      <c r="Q50" s="76"/>
      <c r="R50" s="70">
        <f>SUM(C50:P50)</f>
        <v>494537</v>
      </c>
    </row>
    <row r="51" spans="1:18" ht="14.25">
      <c r="A51" s="89" t="s">
        <v>279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280</v>
      </c>
      <c r="B52" s="76"/>
      <c r="C52" s="76">
        <f>170000-10000-10000-10000-10000-10000-10000-10000</f>
        <v>100000</v>
      </c>
      <c r="D52" s="76"/>
      <c r="E52" s="76">
        <f>60000-3000-21000-3000-3000-3000-3000-3000-3000</f>
        <v>18000</v>
      </c>
      <c r="F52" s="76"/>
      <c r="G52" s="76">
        <f>36000-3000-3000-3000-3000-3000-3000-3000</f>
        <v>15000</v>
      </c>
      <c r="H52" s="76"/>
      <c r="I52" s="76"/>
      <c r="J52" s="76"/>
      <c r="K52" s="76">
        <f>84000-7500-7500-7500-7500-7500-7500-7500</f>
        <v>31500</v>
      </c>
      <c r="L52" s="76"/>
      <c r="M52" s="76"/>
      <c r="N52" s="76"/>
      <c r="O52" s="76"/>
      <c r="P52" s="70"/>
      <c r="Q52" s="76"/>
      <c r="R52" s="70">
        <f>SUM(C52:P52)</f>
        <v>164500</v>
      </c>
    </row>
    <row r="53" spans="1:18" ht="14.25">
      <c r="A53" s="90" t="s">
        <v>281</v>
      </c>
      <c r="B53" s="76"/>
      <c r="C53" s="76">
        <f>65000-2671-8650</f>
        <v>53679</v>
      </c>
      <c r="D53" s="76"/>
      <c r="E53" s="76">
        <f>10000-5000</f>
        <v>5000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58679</v>
      </c>
    </row>
    <row r="54" spans="1:18" ht="15" thickBot="1">
      <c r="A54" s="90" t="s">
        <v>36</v>
      </c>
      <c r="B54" s="93"/>
      <c r="C54" s="80">
        <f>SUM(C50:C53)</f>
        <v>336916</v>
      </c>
      <c r="D54" s="93">
        <v>0</v>
      </c>
      <c r="E54" s="93">
        <f>SUM(E50:E53)</f>
        <v>148000</v>
      </c>
      <c r="F54" s="93">
        <v>0</v>
      </c>
      <c r="G54" s="93">
        <f>SUM(G50:G53)</f>
        <v>100000</v>
      </c>
      <c r="H54" s="93">
        <v>0</v>
      </c>
      <c r="I54" s="93">
        <f>SUM(I50:I53)</f>
        <v>10000</v>
      </c>
      <c r="J54" s="93"/>
      <c r="K54" s="93">
        <f>SUM(K50:K53)</f>
        <v>157800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752716</v>
      </c>
    </row>
    <row r="55" spans="1:18" ht="15" thickTop="1">
      <c r="A55" s="94" t="s">
        <v>283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284</v>
      </c>
      <c r="B56" s="82"/>
      <c r="C56" s="82">
        <f>380000-12952-29679.7-21428-116514.35-32279.2-58957.95+40000-18014.35</f>
        <v>130174.44999999998</v>
      </c>
      <c r="D56" s="82"/>
      <c r="E56" s="82">
        <f>50000-14600-13600-8600</f>
        <v>13200</v>
      </c>
      <c r="F56" s="82"/>
      <c r="G56" s="82">
        <f>45000-9572</f>
        <v>35428</v>
      </c>
      <c r="H56" s="82"/>
      <c r="I56" s="82"/>
      <c r="J56" s="82"/>
      <c r="K56" s="82">
        <f>80000-14000-6800+2000-1800</f>
        <v>59400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238202.44999999998</v>
      </c>
    </row>
    <row r="57" spans="1:18" ht="14.25">
      <c r="A57" s="90" t="s">
        <v>285</v>
      </c>
      <c r="B57" s="76"/>
      <c r="C57" s="76">
        <f>58000-750-18500-1350</f>
        <v>37400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42400</v>
      </c>
    </row>
    <row r="58" spans="1:18" ht="14.25">
      <c r="A58" s="94" t="s">
        <v>286</v>
      </c>
      <c r="B58" s="76"/>
      <c r="C58" s="76">
        <f>757000-2080-16428-411356-2400-11520</f>
        <v>313216</v>
      </c>
      <c r="D58" s="76">
        <v>20000</v>
      </c>
      <c r="E58" s="76">
        <f>30000-6080-13416</f>
        <v>10504</v>
      </c>
      <c r="F58" s="76">
        <f>240000-5250-4350</f>
        <v>230400</v>
      </c>
      <c r="G58" s="76">
        <f>50000-21924-9244</f>
        <v>18832</v>
      </c>
      <c r="H58" s="76">
        <f>582600-28370.04-48507.72-27007.72-35320.84-35426.24</f>
        <v>407967.44000000006</v>
      </c>
      <c r="I58" s="76"/>
      <c r="J58" s="76">
        <f>440000-3000-288000</f>
        <v>149000</v>
      </c>
      <c r="K58" s="76">
        <f>40000-5376-5948</f>
        <v>28676</v>
      </c>
      <c r="L58" s="76"/>
      <c r="M58" s="76"/>
      <c r="N58" s="76">
        <v>80000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1327839.44</v>
      </c>
    </row>
    <row r="59" spans="1:18" ht="14.25">
      <c r="A59" s="94" t="s">
        <v>287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480790.44999999995</v>
      </c>
      <c r="D60" s="93">
        <f>SUM(D58:D59)</f>
        <v>20000</v>
      </c>
      <c r="E60" s="93">
        <f>SUM(E56:E59)</f>
        <v>23704</v>
      </c>
      <c r="F60" s="93">
        <f>SUM(F58)</f>
        <v>230400</v>
      </c>
      <c r="G60" s="93">
        <f>SUM(G56:G59)</f>
        <v>59260</v>
      </c>
      <c r="H60" s="93">
        <f>SUM(H56:H59)</f>
        <v>407967.44000000006</v>
      </c>
      <c r="I60" s="93">
        <f>SUM(I56:I59)</f>
        <v>0</v>
      </c>
      <c r="J60" s="93">
        <f>SUM(J58)</f>
        <v>149000</v>
      </c>
      <c r="K60" s="93">
        <f>SUM(K56:K59)</f>
        <v>88076</v>
      </c>
      <c r="L60" s="93">
        <f>SUM(L56:L59)</f>
        <v>0</v>
      </c>
      <c r="M60" s="93"/>
      <c r="N60" s="93">
        <f>SUM(N58)</f>
        <v>80000</v>
      </c>
      <c r="O60" s="93">
        <f>SUM(O58)</f>
        <v>32411</v>
      </c>
      <c r="P60" s="93">
        <f>SUM(P56:P59)</f>
        <v>36833</v>
      </c>
      <c r="Q60" s="93"/>
      <c r="R60" s="73">
        <f>SUM(C60:P60)</f>
        <v>1608441.8900000001</v>
      </c>
    </row>
    <row r="61" spans="1:18" ht="15" thickTop="1">
      <c r="A61" s="94" t="s">
        <v>288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289</v>
      </c>
      <c r="B62" s="82"/>
      <c r="C62" s="82"/>
      <c r="D62" s="82"/>
      <c r="E62" s="82">
        <f>100000-35728-21100-1900</f>
        <v>41272</v>
      </c>
      <c r="F62" s="82"/>
      <c r="G62" s="82">
        <f>20000-19134</f>
        <v>866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42138</v>
      </c>
    </row>
    <row r="63" spans="1:18" ht="14.25">
      <c r="A63" s="90" t="s">
        <v>290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291</v>
      </c>
      <c r="B64" s="76"/>
      <c r="C64" s="76"/>
      <c r="D64" s="76"/>
      <c r="E64" s="76">
        <f>20000-300-400-400-440-14851+10000-270</f>
        <v>13339</v>
      </c>
      <c r="F64" s="76"/>
      <c r="G64" s="76">
        <f>20000-17844</f>
        <v>2156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15495</v>
      </c>
    </row>
    <row r="65" spans="1:18" ht="14.25">
      <c r="A65" s="94" t="s">
        <v>292</v>
      </c>
      <c r="B65" s="76"/>
      <c r="C65" s="76"/>
      <c r="D65" s="76"/>
      <c r="E65" s="76"/>
      <c r="F65" s="76"/>
      <c r="G65" s="76">
        <v>0</v>
      </c>
      <c r="H65" s="76">
        <f>1084570-77242.62-147128.8-195963.04-84599.06</f>
        <v>579636.48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579636.48</v>
      </c>
    </row>
    <row r="66" spans="1:18" ht="14.25">
      <c r="A66" s="94" t="s">
        <v>293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295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296</v>
      </c>
      <c r="B69" s="76"/>
      <c r="C69" s="76">
        <f>200000-9305-8860-6450-7895-4965-6830</f>
        <v>155695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155695</v>
      </c>
    </row>
    <row r="70" spans="1:18" ht="14.25">
      <c r="A70" s="94" t="s">
        <v>327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297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328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298</v>
      </c>
      <c r="B73" s="76"/>
      <c r="C73" s="76">
        <f>70000-13600-28000</f>
        <v>28400</v>
      </c>
      <c r="D73" s="76"/>
      <c r="E73" s="76">
        <f>100000-21250-9700</f>
        <v>69050</v>
      </c>
      <c r="F73" s="76"/>
      <c r="G73" s="76">
        <v>25000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136600</v>
      </c>
    </row>
    <row r="74" spans="1:18" ht="14.25">
      <c r="A74" s="94" t="s">
        <v>299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300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193649</v>
      </c>
      <c r="D76" s="93">
        <v>0</v>
      </c>
      <c r="E76" s="93">
        <f>SUM(E62:E75)</f>
        <v>123661</v>
      </c>
      <c r="F76" s="93">
        <v>0</v>
      </c>
      <c r="G76" s="93">
        <f>SUM(G62:G75)</f>
        <v>28022</v>
      </c>
      <c r="H76" s="93">
        <f>SUM(H62:H75)</f>
        <v>609636.48</v>
      </c>
      <c r="I76" s="93">
        <f>SUM(I62:I75)</f>
        <v>0</v>
      </c>
      <c r="J76" s="93">
        <v>0</v>
      </c>
      <c r="K76" s="93">
        <f>SUM(K63:K75)</f>
        <v>94150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1049118.48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116</v>
      </c>
      <c r="B82" s="353" t="s">
        <v>93</v>
      </c>
      <c r="C82" s="354" t="s">
        <v>94</v>
      </c>
      <c r="D82" s="354"/>
      <c r="E82" s="354"/>
      <c r="F82" s="87" t="s">
        <v>95</v>
      </c>
      <c r="G82" s="354" t="s">
        <v>96</v>
      </c>
      <c r="H82" s="354"/>
      <c r="I82" s="354" t="s">
        <v>97</v>
      </c>
      <c r="J82" s="354"/>
      <c r="K82" s="354" t="s">
        <v>99</v>
      </c>
      <c r="L82" s="354"/>
      <c r="M82" s="355" t="s">
        <v>393</v>
      </c>
      <c r="N82" s="356"/>
      <c r="O82" s="354" t="s">
        <v>100</v>
      </c>
      <c r="P82" s="354"/>
      <c r="Q82" s="214"/>
      <c r="R82" s="357" t="s">
        <v>19</v>
      </c>
    </row>
    <row r="83" spans="1:18" s="64" customFormat="1" ht="13.5" customHeight="1">
      <c r="A83" s="66" t="s">
        <v>117</v>
      </c>
      <c r="B83" s="353"/>
      <c r="C83" s="87" t="s">
        <v>101</v>
      </c>
      <c r="D83" s="87" t="s">
        <v>112</v>
      </c>
      <c r="E83" s="87" t="s">
        <v>102</v>
      </c>
      <c r="F83" s="87" t="s">
        <v>103</v>
      </c>
      <c r="G83" s="87" t="s">
        <v>104</v>
      </c>
      <c r="H83" s="87" t="s">
        <v>105</v>
      </c>
      <c r="I83" s="87" t="s">
        <v>106</v>
      </c>
      <c r="J83" s="87" t="s">
        <v>107</v>
      </c>
      <c r="K83" s="87" t="s">
        <v>108</v>
      </c>
      <c r="L83" s="87" t="s">
        <v>109</v>
      </c>
      <c r="M83" s="87" t="s">
        <v>468</v>
      </c>
      <c r="N83" s="87" t="s">
        <v>392</v>
      </c>
      <c r="O83" s="87" t="s">
        <v>110</v>
      </c>
      <c r="P83" s="87" t="s">
        <v>111</v>
      </c>
      <c r="Q83" s="192" t="s">
        <v>115</v>
      </c>
      <c r="R83" s="358"/>
    </row>
    <row r="84" spans="1:18" ht="13.5" customHeight="1">
      <c r="A84" s="92" t="s">
        <v>301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302</v>
      </c>
      <c r="B85" s="67"/>
      <c r="C85" s="67">
        <f>150000-12023.06-11297.35-13827.15-8077.4-20573.57</f>
        <v>84201.47</v>
      </c>
      <c r="D85" s="67"/>
      <c r="E85" s="67"/>
      <c r="F85" s="67"/>
      <c r="G85" s="67">
        <f>50000-1832-1291.78-1027.31-871.22-2465.91</f>
        <v>42511.78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126713.25</v>
      </c>
    </row>
    <row r="86" spans="1:18" ht="13.5" customHeight="1">
      <c r="A86" s="90" t="s">
        <v>303</v>
      </c>
      <c r="B86" s="70"/>
      <c r="C86" s="70">
        <f>6000-234-438-432-438-330-444</f>
        <v>3684</v>
      </c>
      <c r="D86" s="70"/>
      <c r="E86" s="70"/>
      <c r="F86" s="70"/>
      <c r="G86" s="70">
        <f>5000-114-294-102-138-186-366</f>
        <v>3800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7484</v>
      </c>
    </row>
    <row r="87" spans="1:18" ht="13.5" customHeight="1">
      <c r="A87" s="90" t="s">
        <v>304</v>
      </c>
      <c r="B87" s="70"/>
      <c r="C87" s="70">
        <f>20000-1001.52-992.96-2043.7-1020.78-971.56</f>
        <v>13969.48</v>
      </c>
      <c r="D87" s="70"/>
      <c r="E87" s="70"/>
      <c r="F87" s="70"/>
      <c r="G87" s="70">
        <f>10000-428-428-856-428-428</f>
        <v>7432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21401.48</v>
      </c>
    </row>
    <row r="88" spans="1:18" ht="13.5" customHeight="1">
      <c r="A88" s="89" t="s">
        <v>305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306</v>
      </c>
      <c r="B89" s="71"/>
      <c r="C89" s="71">
        <f>90000-5339.3-5339.3-10518.1-5243-5243</f>
        <v>58317.29999999999</v>
      </c>
      <c r="D89" s="71"/>
      <c r="E89" s="71"/>
      <c r="F89" s="71"/>
      <c r="G89" s="71">
        <f>25000-1701.3-1701.3-3402.6-1701.3-1701.3</f>
        <v>14792.200000000004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73109.5</v>
      </c>
    </row>
    <row r="90" spans="1:18" ht="13.5" customHeight="1" thickBot="1">
      <c r="A90" s="90" t="s">
        <v>36</v>
      </c>
      <c r="B90" s="61"/>
      <c r="C90" s="61">
        <f>SUM(C85:C89)</f>
        <v>160172.25</v>
      </c>
      <c r="D90" s="61">
        <v>0</v>
      </c>
      <c r="E90" s="61">
        <v>0</v>
      </c>
      <c r="F90" s="61">
        <v>0</v>
      </c>
      <c r="G90" s="61">
        <f>SUM(G85:G89)</f>
        <v>68535.98000000001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228708.23</v>
      </c>
    </row>
    <row r="91" spans="1:18" ht="13.5" customHeight="1" thickTop="1">
      <c r="A91" s="92" t="s">
        <v>307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308</v>
      </c>
      <c r="B92" s="76"/>
      <c r="C92" s="76">
        <f>105600-86000</f>
        <v>19600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19600</v>
      </c>
    </row>
    <row r="93" spans="1:18" ht="13.5" customHeight="1">
      <c r="A93" s="90" t="s">
        <v>478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310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313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314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315</v>
      </c>
      <c r="B100" s="77"/>
      <c r="C100" s="77">
        <f>100000-13417.27-1700-19750-12150-3860-13423.15</f>
        <v>35699.579999999994</v>
      </c>
      <c r="D100" s="77"/>
      <c r="E100" s="77">
        <f>30000-550-1200-900</f>
        <v>27350</v>
      </c>
      <c r="F100" s="77"/>
      <c r="G100" s="77">
        <f>80000-30000-1900-2400-4300</f>
        <v>41400</v>
      </c>
      <c r="H100" s="151"/>
      <c r="I100" s="77"/>
      <c r="J100" s="77"/>
      <c r="K100" s="77">
        <f>20000-1500-2300-1920-1200</f>
        <v>13080</v>
      </c>
      <c r="L100" s="77"/>
      <c r="M100" s="77"/>
      <c r="N100" s="77"/>
      <c r="O100" s="77"/>
      <c r="P100" s="67"/>
      <c r="Q100" s="77"/>
      <c r="R100" s="199">
        <f t="shared" si="2"/>
        <v>117529.57999999999</v>
      </c>
    </row>
    <row r="101" spans="1:18" ht="13.5" customHeight="1" thickBot="1">
      <c r="A101" s="90" t="s">
        <v>36</v>
      </c>
      <c r="B101" s="93"/>
      <c r="C101" s="93">
        <f>SUM(C92:C100)</f>
        <v>842299.58</v>
      </c>
      <c r="D101" s="93">
        <v>0</v>
      </c>
      <c r="E101" s="93">
        <f>SUM(E100)</f>
        <v>27350</v>
      </c>
      <c r="F101" s="93">
        <v>0</v>
      </c>
      <c r="G101" s="93">
        <f>SUM(G92:G100)</f>
        <v>41400</v>
      </c>
      <c r="H101" s="93">
        <f>SUM(H92:H100)</f>
        <v>36000</v>
      </c>
      <c r="I101" s="93">
        <f>SUM(I100)</f>
        <v>0</v>
      </c>
      <c r="J101" s="93"/>
      <c r="K101" s="93">
        <f>SUM(K92:K100)</f>
        <v>13080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960129.58</v>
      </c>
    </row>
    <row r="102" spans="1:18" ht="13.5" customHeight="1" thickTop="1">
      <c r="A102" s="94" t="s">
        <v>316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317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318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319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f>2590000-143000</f>
        <v>2447000</v>
      </c>
      <c r="R105" s="83">
        <f>SUM(Q105)</f>
        <v>2447000</v>
      </c>
    </row>
    <row r="106" spans="1:18" ht="13.5" customHeight="1">
      <c r="A106" s="90" t="s">
        <v>390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2447000</v>
      </c>
      <c r="R107" s="200">
        <f>SUM(R103:R106)</f>
        <v>2785000</v>
      </c>
    </row>
    <row r="108" spans="1:18" ht="13.5" customHeight="1" thickTop="1">
      <c r="A108" s="94" t="s">
        <v>320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321</v>
      </c>
      <c r="B109" s="70"/>
      <c r="C109" s="76">
        <f>10000-10000</f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322</v>
      </c>
      <c r="B110" s="77"/>
      <c r="C110" s="76">
        <v>13000</v>
      </c>
      <c r="D110" s="76"/>
      <c r="E110" s="76"/>
      <c r="F110" s="76"/>
      <c r="G110" s="76">
        <f>1872000-384580-590940</f>
        <v>896480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1209480</v>
      </c>
    </row>
    <row r="111" spans="1:18" ht="13.5" customHeight="1">
      <c r="A111" s="94" t="s">
        <v>391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323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13000</v>
      </c>
      <c r="D113" s="93">
        <v>0</v>
      </c>
      <c r="E113" s="93">
        <v>0</v>
      </c>
      <c r="F113" s="93">
        <v>0</v>
      </c>
      <c r="G113" s="93">
        <f>SUM(G110)</f>
        <v>896480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1319480</v>
      </c>
    </row>
    <row r="114" spans="1:18" ht="13.5" customHeight="1" thickTop="1">
      <c r="A114" s="94" t="s">
        <v>324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325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315629</v>
      </c>
      <c r="C117" s="194">
        <f>SUM(C14+C22+C27+C31+C48+C54+C60+C76+C90+C101+C107+C113)</f>
        <v>4624459.28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1116641</v>
      </c>
      <c r="F117" s="194">
        <f t="shared" si="3"/>
        <v>230400</v>
      </c>
      <c r="G117" s="194">
        <f t="shared" si="3"/>
        <v>1606944.98</v>
      </c>
      <c r="H117" s="194">
        <f t="shared" si="3"/>
        <v>1225603.92</v>
      </c>
      <c r="I117" s="194">
        <f t="shared" si="3"/>
        <v>386100</v>
      </c>
      <c r="J117" s="194">
        <f t="shared" si="3"/>
        <v>149000</v>
      </c>
      <c r="K117" s="194">
        <f t="shared" si="3"/>
        <v>1100376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2447000</v>
      </c>
      <c r="R117" s="193">
        <f>SUM(B117:Q117)</f>
        <v>13391398.18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16.5">
      <c r="A2" s="351" t="s">
        <v>403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ht="16.5">
      <c r="A3" s="351" t="s">
        <v>404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6.5">
      <c r="A4" s="352" t="s">
        <v>565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="123" customFormat="1" ht="14.25">
      <c r="Q5" s="191"/>
    </row>
    <row r="6" spans="1:18" s="64" customFormat="1" ht="14.25">
      <c r="A6" s="65" t="s">
        <v>116</v>
      </c>
      <c r="B6" s="353" t="s">
        <v>93</v>
      </c>
      <c r="C6" s="354" t="s">
        <v>94</v>
      </c>
      <c r="D6" s="354"/>
      <c r="E6" s="354"/>
      <c r="F6" s="87" t="s">
        <v>95</v>
      </c>
      <c r="G6" s="354" t="s">
        <v>96</v>
      </c>
      <c r="H6" s="354"/>
      <c r="I6" s="354" t="s">
        <v>97</v>
      </c>
      <c r="J6" s="354"/>
      <c r="K6" s="87" t="s">
        <v>98</v>
      </c>
      <c r="L6" s="354" t="s">
        <v>99</v>
      </c>
      <c r="M6" s="354"/>
      <c r="N6" s="354" t="s">
        <v>100</v>
      </c>
      <c r="O6" s="354"/>
      <c r="P6" s="355" t="s">
        <v>114</v>
      </c>
      <c r="Q6" s="356"/>
      <c r="R6" s="357" t="s">
        <v>19</v>
      </c>
    </row>
    <row r="7" spans="1:18" s="64" customFormat="1" ht="14.25">
      <c r="A7" s="66" t="s">
        <v>117</v>
      </c>
      <c r="B7" s="353"/>
      <c r="C7" s="87" t="s">
        <v>101</v>
      </c>
      <c r="D7" s="87" t="s">
        <v>112</v>
      </c>
      <c r="E7" s="87" t="s">
        <v>102</v>
      </c>
      <c r="F7" s="87" t="s">
        <v>103</v>
      </c>
      <c r="G7" s="87" t="s">
        <v>104</v>
      </c>
      <c r="H7" s="87" t="s">
        <v>105</v>
      </c>
      <c r="I7" s="87" t="s">
        <v>106</v>
      </c>
      <c r="J7" s="87" t="s">
        <v>107</v>
      </c>
      <c r="K7" s="87" t="s">
        <v>113</v>
      </c>
      <c r="L7" s="87" t="s">
        <v>108</v>
      </c>
      <c r="M7" s="87" t="s">
        <v>109</v>
      </c>
      <c r="N7" s="87" t="s">
        <v>110</v>
      </c>
      <c r="O7" s="87" t="s">
        <v>111</v>
      </c>
      <c r="P7" s="87" t="s">
        <v>326</v>
      </c>
      <c r="Q7" s="192" t="s">
        <v>115</v>
      </c>
      <c r="R7" s="358"/>
    </row>
    <row r="8" spans="1:18" ht="14.25">
      <c r="A8" s="88" t="s">
        <v>256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257</v>
      </c>
      <c r="B9" s="67">
        <v>0</v>
      </c>
      <c r="C9" s="67"/>
      <c r="D9" s="67"/>
      <c r="E9" s="67" t="s">
        <v>254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259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505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262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263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264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265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266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267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268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269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270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271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272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254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269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273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274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87" t="s">
        <v>98</v>
      </c>
      <c r="L41" s="354" t="s">
        <v>99</v>
      </c>
      <c r="M41" s="354"/>
      <c r="N41" s="354" t="s">
        <v>100</v>
      </c>
      <c r="O41" s="354"/>
      <c r="P41" s="355" t="s">
        <v>114</v>
      </c>
      <c r="Q41" s="356"/>
      <c r="R41" s="357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326</v>
      </c>
      <c r="Q42" s="192" t="s">
        <v>115</v>
      </c>
      <c r="R42" s="358"/>
    </row>
    <row r="43" spans="1:18" ht="14.25">
      <c r="A43" s="92" t="s">
        <v>269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275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276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278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279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254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280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281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284</v>
      </c>
      <c r="B57" s="215" t="s">
        <v>396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285</v>
      </c>
      <c r="B58" s="76"/>
      <c r="C58" s="76">
        <v>0</v>
      </c>
      <c r="D58" s="76"/>
      <c r="E58" s="76" t="s">
        <v>402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286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287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40000</v>
      </c>
    </row>
    <row r="63" spans="1:18" ht="15" thickTop="1">
      <c r="A63" s="94" t="s">
        <v>288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289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291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292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296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298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299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10000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87" t="s">
        <v>98</v>
      </c>
      <c r="L81" s="354" t="s">
        <v>99</v>
      </c>
      <c r="M81" s="354"/>
      <c r="N81" s="354" t="s">
        <v>100</v>
      </c>
      <c r="O81" s="354"/>
      <c r="P81" s="355" t="s">
        <v>114</v>
      </c>
      <c r="Q81" s="356"/>
      <c r="R81" s="357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326</v>
      </c>
      <c r="Q82" s="192" t="s">
        <v>115</v>
      </c>
      <c r="R82" s="358"/>
    </row>
    <row r="83" spans="1:18" ht="13.5" customHeight="1">
      <c r="A83" s="92" t="s">
        <v>301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302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303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304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305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306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307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308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309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312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314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315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317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320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321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322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323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324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325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0">
      <selection activeCell="I12" sqref="I12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16.5">
      <c r="A2" s="351" t="s">
        <v>405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ht="16.5">
      <c r="A3" s="352" t="s">
        <v>565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8:17" s="123" customFormat="1" ht="16.5">
      <c r="H4" s="359"/>
      <c r="I4" s="359"/>
      <c r="J4" s="359"/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87" t="s">
        <v>98</v>
      </c>
      <c r="L5" s="354" t="s">
        <v>99</v>
      </c>
      <c r="M5" s="354"/>
      <c r="N5" s="354" t="s">
        <v>100</v>
      </c>
      <c r="O5" s="354"/>
      <c r="P5" s="355" t="s">
        <v>114</v>
      </c>
      <c r="Q5" s="356"/>
      <c r="R5" s="357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113</v>
      </c>
      <c r="L6" s="87" t="s">
        <v>108</v>
      </c>
      <c r="M6" s="87" t="s">
        <v>109</v>
      </c>
      <c r="N6" s="87" t="s">
        <v>110</v>
      </c>
      <c r="O6" s="87" t="s">
        <v>111</v>
      </c>
      <c r="P6" s="87" t="s">
        <v>326</v>
      </c>
      <c r="Q6" s="192" t="s">
        <v>115</v>
      </c>
      <c r="R6" s="358"/>
    </row>
    <row r="7" spans="1:18" ht="14.25">
      <c r="A7" s="88" t="s">
        <v>256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257</v>
      </c>
      <c r="B8" s="67">
        <v>0</v>
      </c>
      <c r="C8" s="67"/>
      <c r="D8" s="67"/>
      <c r="E8" s="67" t="s">
        <v>254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258</v>
      </c>
      <c r="B9" s="70">
        <v>0</v>
      </c>
      <c r="C9" s="70"/>
      <c r="D9" s="70"/>
      <c r="E9" s="70"/>
      <c r="F9" s="70"/>
      <c r="G9" s="70"/>
      <c r="H9" s="70" t="s">
        <v>484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259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 t="s">
        <v>254</v>
      </c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260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261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262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263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264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265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266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267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268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270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272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273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274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87" t="s">
        <v>98</v>
      </c>
      <c r="L41" s="354" t="s">
        <v>99</v>
      </c>
      <c r="M41" s="354"/>
      <c r="N41" s="354" t="s">
        <v>100</v>
      </c>
      <c r="O41" s="354"/>
      <c r="P41" s="355" t="s">
        <v>114</v>
      </c>
      <c r="Q41" s="356"/>
      <c r="R41" s="357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326</v>
      </c>
      <c r="Q42" s="192" t="s">
        <v>115</v>
      </c>
      <c r="R42" s="358"/>
    </row>
    <row r="43" spans="1:18" ht="14.25">
      <c r="A43" s="92" t="s">
        <v>269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275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276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278</v>
      </c>
      <c r="B49" s="76"/>
      <c r="C49" s="76">
        <v>0</v>
      </c>
      <c r="D49" s="76"/>
      <c r="E49" s="76"/>
      <c r="F49" s="76"/>
      <c r="G49" s="76"/>
      <c r="H49" s="76"/>
      <c r="I49" s="76" t="s">
        <v>254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279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280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281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446</v>
      </c>
      <c r="M56" s="82"/>
      <c r="N56" s="83"/>
      <c r="O56" s="84"/>
      <c r="P56" s="83"/>
      <c r="Q56" s="83"/>
      <c r="R56" s="84"/>
    </row>
    <row r="57" spans="1:18" ht="14.25">
      <c r="A57" s="94" t="s">
        <v>284</v>
      </c>
      <c r="B57" s="215" t="s">
        <v>396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285</v>
      </c>
      <c r="B58" s="76"/>
      <c r="C58" s="76">
        <v>0</v>
      </c>
      <c r="D58" s="76"/>
      <c r="E58" s="76" t="s">
        <v>402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286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287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289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291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292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296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298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299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87" t="s">
        <v>98</v>
      </c>
      <c r="L81" s="354" t="s">
        <v>99</v>
      </c>
      <c r="M81" s="354"/>
      <c r="N81" s="354" t="s">
        <v>100</v>
      </c>
      <c r="O81" s="354"/>
      <c r="P81" s="355" t="s">
        <v>114</v>
      </c>
      <c r="Q81" s="356"/>
      <c r="R81" s="357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326</v>
      </c>
      <c r="Q82" s="192" t="s">
        <v>115</v>
      </c>
      <c r="R82" s="358"/>
    </row>
    <row r="83" spans="1:18" ht="13.5" customHeight="1">
      <c r="A83" s="92" t="s">
        <v>301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302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303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304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305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306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307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308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309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312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314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315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317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407100</v>
      </c>
      <c r="R105" s="70">
        <f>SUM(Q105)</f>
        <v>407100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407100</v>
      </c>
      <c r="R106" s="61">
        <f>SUM(D106:Q106)</f>
        <v>407100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964000+448800+815000+764200+407100</f>
        <v>3399100</v>
      </c>
      <c r="R107" s="73">
        <f>SUM(Q107)</f>
        <v>3399100</v>
      </c>
    </row>
    <row r="108" spans="1:18" ht="13.5" customHeight="1" thickTop="1">
      <c r="A108" s="94" t="s">
        <v>320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321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322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323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324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325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407100</v>
      </c>
      <c r="R118" s="72">
        <f>SUM(B118:Q118)</f>
        <v>407100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964000+448800+815000+764200+407100</f>
        <v>3399100</v>
      </c>
      <c r="R119" s="73">
        <f>SUM(B119:Q119)</f>
        <v>3399100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16.5">
      <c r="A2" s="351" t="s">
        <v>407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ht="16.5">
      <c r="A3" s="352" t="s">
        <v>565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55" t="s">
        <v>393</v>
      </c>
      <c r="N5" s="356"/>
      <c r="O5" s="354" t="s">
        <v>100</v>
      </c>
      <c r="P5" s="354"/>
      <c r="Q5" s="281" t="s">
        <v>114</v>
      </c>
      <c r="R5" s="357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468</v>
      </c>
      <c r="N6" s="87" t="s">
        <v>392</v>
      </c>
      <c r="O6" s="87" t="s">
        <v>110</v>
      </c>
      <c r="P6" s="87" t="s">
        <v>111</v>
      </c>
      <c r="Q6" s="192" t="s">
        <v>115</v>
      </c>
      <c r="R6" s="358"/>
    </row>
    <row r="7" spans="1:18" ht="14.25">
      <c r="A7" s="88" t="s">
        <v>256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257</v>
      </c>
      <c r="B8" s="67">
        <v>5560</v>
      </c>
      <c r="C8" s="67"/>
      <c r="D8" s="67"/>
      <c r="E8" s="67" t="s">
        <v>254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5560</v>
      </c>
    </row>
    <row r="9" spans="1:18" ht="14.25">
      <c r="A9" s="90" t="s">
        <v>258</v>
      </c>
      <c r="B9" s="70">
        <v>2000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259</v>
      </c>
      <c r="B10" s="70">
        <v>14445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14445</v>
      </c>
    </row>
    <row r="11" spans="1:18" ht="14.25">
      <c r="A11" s="90" t="s">
        <v>260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261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22005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22005</v>
      </c>
    </row>
    <row r="14" spans="1:18" ht="15" thickBot="1">
      <c r="A14" s="91" t="s">
        <v>37</v>
      </c>
      <c r="B14" s="73">
        <f>54652+155486+7752+127752+7752+7752+22005</f>
        <v>383151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383151</v>
      </c>
    </row>
    <row r="15" spans="1:18" ht="15" thickTop="1">
      <c r="A15" s="92" t="s">
        <v>262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447</v>
      </c>
    </row>
    <row r="16" spans="1:18" ht="14.25">
      <c r="A16" s="90" t="s">
        <v>263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264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265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266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267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268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235860+235860+235860+235860+235860+235860+235860</f>
        <v>1651020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1651020</v>
      </c>
    </row>
    <row r="24" spans="1:18" ht="15" thickTop="1">
      <c r="A24" s="89" t="s">
        <v>269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270</v>
      </c>
      <c r="B25" s="76"/>
      <c r="C25" s="76">
        <v>178780</v>
      </c>
      <c r="D25" s="76"/>
      <c r="E25" s="76">
        <v>92440</v>
      </c>
      <c r="F25" s="76"/>
      <c r="G25" s="76">
        <v>23080</v>
      </c>
      <c r="H25" s="76"/>
      <c r="I25" s="76"/>
      <c r="J25" s="76"/>
      <c r="K25" s="76">
        <v>59850</v>
      </c>
      <c r="L25" s="76"/>
      <c r="M25" s="76"/>
      <c r="N25" s="76"/>
      <c r="O25" s="76"/>
      <c r="P25" s="70"/>
      <c r="Q25" s="76"/>
      <c r="R25" s="70">
        <f>SUM(C25:Q25)</f>
        <v>354150</v>
      </c>
    </row>
    <row r="26" spans="1:18" ht="14.25">
      <c r="A26" s="90" t="s">
        <v>271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1325</v>
      </c>
      <c r="L26" s="76"/>
      <c r="M26" s="76"/>
      <c r="N26" s="76"/>
      <c r="O26" s="76"/>
      <c r="P26" s="70"/>
      <c r="Q26" s="76"/>
      <c r="R26" s="70">
        <f>SUM(C26:P26)</f>
        <v>1325</v>
      </c>
    </row>
    <row r="27" spans="1:18" ht="14.25">
      <c r="A27" s="89" t="s">
        <v>272</v>
      </c>
      <c r="B27" s="77"/>
      <c r="C27" s="77">
        <v>14700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25200</v>
      </c>
    </row>
    <row r="28" spans="1:18" ht="14.25">
      <c r="A28" s="90" t="s">
        <v>36</v>
      </c>
      <c r="B28" s="61"/>
      <c r="C28" s="79">
        <f>SUM(C25:C27)</f>
        <v>193480</v>
      </c>
      <c r="D28" s="61">
        <v>0</v>
      </c>
      <c r="E28" s="61">
        <f>SUM(E25:E27)</f>
        <v>95940</v>
      </c>
      <c r="F28" s="61">
        <v>0</v>
      </c>
      <c r="G28" s="61">
        <f>SUM(G25:G27)</f>
        <v>26580</v>
      </c>
      <c r="H28" s="61">
        <v>0</v>
      </c>
      <c r="I28" s="61">
        <v>0</v>
      </c>
      <c r="J28" s="61">
        <v>0</v>
      </c>
      <c r="K28" s="61">
        <f>SUM(K25:K27)</f>
        <v>64675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380675</v>
      </c>
    </row>
    <row r="29" spans="1:18" ht="15" thickBot="1">
      <c r="A29" s="91" t="s">
        <v>37</v>
      </c>
      <c r="B29" s="93"/>
      <c r="C29" s="80">
        <f>185100+183970+183970+255893+189310+189310+193480</f>
        <v>1381033</v>
      </c>
      <c r="D29" s="93">
        <v>0</v>
      </c>
      <c r="E29" s="93">
        <f>90510+90510+90510+140729+93840+93840+95940</f>
        <v>695879</v>
      </c>
      <c r="F29" s="93">
        <v>0</v>
      </c>
      <c r="G29" s="93">
        <f>25120+25120+25120+36960+25990+25990+26580</f>
        <v>190880</v>
      </c>
      <c r="H29" s="93">
        <v>0</v>
      </c>
      <c r="I29" s="93">
        <v>0</v>
      </c>
      <c r="J29" s="93">
        <v>0</v>
      </c>
      <c r="K29" s="93">
        <f>60390+60390+60390+77601+71719+65005+64675</f>
        <v>460170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2727962</v>
      </c>
    </row>
    <row r="30" spans="1:18" ht="15" thickTop="1">
      <c r="A30" s="89" t="s">
        <v>269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273</v>
      </c>
      <c r="B31" s="76"/>
      <c r="C31" s="76">
        <v>13760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13760</v>
      </c>
    </row>
    <row r="32" spans="1:18" ht="14.25">
      <c r="A32" s="89" t="s">
        <v>274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13760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13760</v>
      </c>
    </row>
    <row r="34" spans="1:18" ht="15" thickBot="1">
      <c r="A34" s="91" t="s">
        <v>37</v>
      </c>
      <c r="B34" s="93"/>
      <c r="C34" s="73">
        <f>13285+13285+13285+13385+13310+13310+13760</f>
        <v>93620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93620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354" t="s">
        <v>99</v>
      </c>
      <c r="L41" s="354"/>
      <c r="M41" s="355" t="s">
        <v>393</v>
      </c>
      <c r="N41" s="356"/>
      <c r="O41" s="354" t="s">
        <v>100</v>
      </c>
      <c r="P41" s="354"/>
      <c r="Q41" s="280" t="s">
        <v>114</v>
      </c>
      <c r="R41" s="357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468</v>
      </c>
      <c r="N42" s="87" t="s">
        <v>392</v>
      </c>
      <c r="O42" s="87" t="s">
        <v>110</v>
      </c>
      <c r="P42" s="87" t="s">
        <v>111</v>
      </c>
      <c r="Q42" s="192" t="s">
        <v>115</v>
      </c>
      <c r="R42" s="358"/>
    </row>
    <row r="43" spans="1:18" ht="14.25">
      <c r="A43" s="92" t="s">
        <v>269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275</v>
      </c>
      <c r="B44" s="70"/>
      <c r="C44" s="70">
        <f>28975+785</f>
        <v>29760</v>
      </c>
      <c r="D44" s="70"/>
      <c r="E44" s="70">
        <v>21150</v>
      </c>
      <c r="F44" s="70"/>
      <c r="G44" s="70">
        <v>20153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99143</v>
      </c>
    </row>
    <row r="45" spans="1:18" ht="14.25">
      <c r="A45" s="94" t="s">
        <v>276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254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21153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111203</v>
      </c>
    </row>
    <row r="47" spans="1:18" ht="15" thickBot="1">
      <c r="A47" s="91" t="s">
        <v>37</v>
      </c>
      <c r="B47" s="93"/>
      <c r="C47" s="73">
        <f>34685+34685+34685+34685+34685+34685+34685</f>
        <v>242795</v>
      </c>
      <c r="D47" s="61">
        <v>0</v>
      </c>
      <c r="E47" s="61">
        <f>23285+23285+23285+23285+23285+23285+23285</f>
        <v>162995</v>
      </c>
      <c r="F47" s="61">
        <v>0</v>
      </c>
      <c r="G47" s="61">
        <f>27620+27620+27620+27620+27620+27620+21153</f>
        <v>186873</v>
      </c>
      <c r="H47" s="61">
        <v>0</v>
      </c>
      <c r="I47" s="61">
        <f>10000+10000+10000+10000+10000+10000+10000</f>
        <v>70000</v>
      </c>
      <c r="J47" s="61">
        <v>0</v>
      </c>
      <c r="K47" s="61">
        <f>22080+22080+22080+22080+22080+22080+22080</f>
        <v>154560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817223</v>
      </c>
    </row>
    <row r="48" spans="1:18" ht="15" thickTop="1">
      <c r="A48" s="92" t="s">
        <v>277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278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279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280</v>
      </c>
      <c r="B51" s="76"/>
      <c r="C51" s="76">
        <f>7000+3000</f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10000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7500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23500</v>
      </c>
    </row>
    <row r="55" spans="1:18" ht="15" thickBot="1">
      <c r="A55" s="91" t="s">
        <v>37</v>
      </c>
      <c r="B55" s="93"/>
      <c r="C55" s="80">
        <f>10000+12671+10000+18650+10000+16763+10000</f>
        <v>88084</v>
      </c>
      <c r="D55" s="93">
        <v>0</v>
      </c>
      <c r="E55" s="93">
        <f>12660+10560+3000+3000+6780+3000+3000</f>
        <v>42000</v>
      </c>
      <c r="F55" s="93">
        <v>0</v>
      </c>
      <c r="G55" s="93">
        <f>3000+3000+3000+3000+3000+3000+3000</f>
        <v>21000</v>
      </c>
      <c r="H55" s="93">
        <v>0</v>
      </c>
      <c r="I55" s="93">
        <v>0</v>
      </c>
      <c r="J55" s="93">
        <v>0</v>
      </c>
      <c r="K55" s="93">
        <f>7500+10300+7500+7500+7500+12400+7500</f>
        <v>60200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211284</v>
      </c>
    </row>
    <row r="56" spans="1:18" ht="15" thickTop="1">
      <c r="A56" s="94" t="s">
        <v>283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284</v>
      </c>
      <c r="B57" s="215" t="s">
        <v>396</v>
      </c>
      <c r="C57" s="82">
        <f>8300+7000+2714.35</f>
        <v>18014.35</v>
      </c>
      <c r="D57" s="82"/>
      <c r="E57" s="82">
        <v>0</v>
      </c>
      <c r="F57" s="82"/>
      <c r="G57" s="82">
        <v>0</v>
      </c>
      <c r="H57" s="82"/>
      <c r="I57" s="82"/>
      <c r="J57" s="82"/>
      <c r="K57" s="82">
        <v>0</v>
      </c>
      <c r="L57" s="82"/>
      <c r="M57" s="82"/>
      <c r="N57" s="82"/>
      <c r="O57" s="82"/>
      <c r="P57" s="83">
        <v>0</v>
      </c>
      <c r="Q57" s="82"/>
      <c r="R57" s="83">
        <f>SUM(C57:P57)</f>
        <v>18014.35</v>
      </c>
    </row>
    <row r="58" spans="1:18" ht="14.25">
      <c r="A58" s="90" t="s">
        <v>285</v>
      </c>
      <c r="B58" s="76"/>
      <c r="C58" s="76">
        <v>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286</v>
      </c>
      <c r="B59" s="76"/>
      <c r="C59" s="76">
        <v>11520</v>
      </c>
      <c r="D59" s="76"/>
      <c r="E59" s="76"/>
      <c r="F59" s="76">
        <v>0</v>
      </c>
      <c r="G59" s="76">
        <f>4622+4622</f>
        <v>9244</v>
      </c>
      <c r="H59" s="76">
        <f>31052.56+1425+7000-4051.32</f>
        <v>35426.24</v>
      </c>
      <c r="I59" s="76"/>
      <c r="J59" s="76">
        <f>11250+96000+180750</f>
        <v>288000</v>
      </c>
      <c r="K59" s="76"/>
      <c r="L59" s="76"/>
      <c r="M59" s="76"/>
      <c r="N59" s="76"/>
      <c r="O59" s="76">
        <v>0</v>
      </c>
      <c r="P59" s="70">
        <v>0</v>
      </c>
      <c r="Q59" s="76"/>
      <c r="R59" s="70">
        <f>SUM(C59:Q59)</f>
        <v>344190.24</v>
      </c>
    </row>
    <row r="60" spans="1:18" ht="14.25">
      <c r="A60" s="94" t="s">
        <v>287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29534.35</v>
      </c>
      <c r="D61" s="61">
        <f>SUM(D59:D60)</f>
        <v>0</v>
      </c>
      <c r="E61" s="61">
        <f>SUM(E57:E59)</f>
        <v>0</v>
      </c>
      <c r="F61" s="61">
        <f>SUM(F59)</f>
        <v>0</v>
      </c>
      <c r="G61" s="61">
        <f>SUM(G59:G60)</f>
        <v>9244</v>
      </c>
      <c r="H61" s="61">
        <f>SUM(H59:H60)</f>
        <v>35426.24</v>
      </c>
      <c r="I61" s="61">
        <v>0</v>
      </c>
      <c r="J61" s="61">
        <f>SUM(J59)</f>
        <v>288000</v>
      </c>
      <c r="K61" s="61">
        <f>SUM(K57:K60)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362204.58999999997</v>
      </c>
    </row>
    <row r="62" spans="1:18" ht="15" thickBot="1">
      <c r="A62" s="91" t="s">
        <v>37</v>
      </c>
      <c r="B62" s="93"/>
      <c r="C62" s="80">
        <f>12952+30429.7+42008+132942.35+444985.2+61357.95+29534.35</f>
        <v>754209.5499999999</v>
      </c>
      <c r="D62" s="93">
        <v>0</v>
      </c>
      <c r="E62" s="93">
        <f>20680+27016+8600</f>
        <v>56296</v>
      </c>
      <c r="F62" s="93">
        <f>5250+4350</f>
        <v>9600</v>
      </c>
      <c r="G62" s="93">
        <f>21924+9572+9244</f>
        <v>40740</v>
      </c>
      <c r="H62" s="93">
        <f>28370.04+48507.72+27007.72+35320.84+35426.24</f>
        <v>174632.56</v>
      </c>
      <c r="I62" s="93">
        <v>0</v>
      </c>
      <c r="J62" s="93">
        <f>3000+288000</f>
        <v>291000</v>
      </c>
      <c r="K62" s="93">
        <f>19376+12748-2000+1800</f>
        <v>31924</v>
      </c>
      <c r="L62" s="93">
        <v>0</v>
      </c>
      <c r="M62" s="93">
        <v>0</v>
      </c>
      <c r="N62" s="93">
        <v>0</v>
      </c>
      <c r="O62" s="93">
        <f>60169+57420</f>
        <v>117589</v>
      </c>
      <c r="P62" s="93">
        <f>5952+167215</f>
        <v>173167</v>
      </c>
      <c r="Q62" s="93"/>
      <c r="R62" s="73">
        <f>SUM(C62:Q62)</f>
        <v>1649158.1099999999</v>
      </c>
    </row>
    <row r="63" spans="1:18" ht="15" thickTop="1">
      <c r="A63" s="94" t="s">
        <v>288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289</v>
      </c>
      <c r="B64" s="82"/>
      <c r="C64" s="82">
        <v>0</v>
      </c>
      <c r="D64" s="82"/>
      <c r="E64" s="82">
        <v>1900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1900</v>
      </c>
    </row>
    <row r="65" spans="1:18" ht="14.25">
      <c r="A65" s="90" t="s">
        <v>290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291</v>
      </c>
      <c r="B66" s="76"/>
      <c r="C66" s="76"/>
      <c r="D66" s="76"/>
      <c r="E66" s="76">
        <v>270</v>
      </c>
      <c r="F66" s="76"/>
      <c r="G66" s="76">
        <v>0</v>
      </c>
      <c r="H66" s="76">
        <v>0</v>
      </c>
      <c r="I66" s="76"/>
      <c r="J66" s="76" t="s">
        <v>254</v>
      </c>
      <c r="K66" s="76"/>
      <c r="L66" s="76"/>
      <c r="M66" s="76"/>
      <c r="N66" s="76"/>
      <c r="O66" s="76"/>
      <c r="P66" s="70"/>
      <c r="Q66" s="76"/>
      <c r="R66" s="70">
        <f>SUM(C66:P66)</f>
        <v>270</v>
      </c>
    </row>
    <row r="67" spans="1:18" ht="14.25">
      <c r="A67" s="94" t="s">
        <v>292</v>
      </c>
      <c r="B67" s="76"/>
      <c r="C67" s="76"/>
      <c r="D67" s="76"/>
      <c r="E67" s="76"/>
      <c r="F67" s="76"/>
      <c r="G67" s="76"/>
      <c r="H67" s="76">
        <v>84599.06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84599.06</v>
      </c>
    </row>
    <row r="68" spans="1:18" ht="14.25">
      <c r="A68" s="94" t="s">
        <v>293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294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296</v>
      </c>
      <c r="B71" s="76"/>
      <c r="C71" s="76">
        <v>6830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6830</v>
      </c>
    </row>
    <row r="72" spans="1:18" ht="14.25">
      <c r="A72" s="94" t="s">
        <v>297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298</v>
      </c>
      <c r="B73" s="76"/>
      <c r="C73" s="76"/>
      <c r="D73" s="76"/>
      <c r="E73" s="76">
        <v>9700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9700</v>
      </c>
    </row>
    <row r="74" spans="1:18" ht="14.25">
      <c r="A74" s="94" t="s">
        <v>299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6830</v>
      </c>
      <c r="D76" s="61">
        <f>SUM(D66:D75)</f>
        <v>0</v>
      </c>
      <c r="E76" s="61">
        <f>SUM(E64:E75)</f>
        <v>11870</v>
      </c>
      <c r="F76" s="61">
        <v>0</v>
      </c>
      <c r="G76" s="61">
        <f>SUM(G64:G75)</f>
        <v>0</v>
      </c>
      <c r="H76" s="61">
        <f>SUM(H64:H75)</f>
        <v>84599.06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103299.06</v>
      </c>
    </row>
    <row r="77" spans="1:18" ht="15" thickBot="1">
      <c r="A77" s="91" t="s">
        <v>37</v>
      </c>
      <c r="B77" s="93"/>
      <c r="C77" s="80">
        <f>17546+9305+8860+55950+7895+4965+6830</f>
        <v>111351</v>
      </c>
      <c r="D77" s="93">
        <v>0</v>
      </c>
      <c r="E77" s="93">
        <f>300+36128+400+21690+35951+11870</f>
        <v>106339</v>
      </c>
      <c r="F77" s="93">
        <v>0</v>
      </c>
      <c r="G77" s="93">
        <f>36978</f>
        <v>36978</v>
      </c>
      <c r="H77" s="93">
        <f>77242.62+147128.8+195963.04+84599.06</f>
        <v>504933.51999999996</v>
      </c>
      <c r="I77" s="93">
        <v>0</v>
      </c>
      <c r="J77" s="93">
        <v>0</v>
      </c>
      <c r="K77" s="93">
        <f>7850+8000</f>
        <v>15850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775451.52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354" t="s">
        <v>99</v>
      </c>
      <c r="L81" s="354"/>
      <c r="M81" s="355" t="s">
        <v>393</v>
      </c>
      <c r="N81" s="356"/>
      <c r="O81" s="354" t="s">
        <v>100</v>
      </c>
      <c r="P81" s="354"/>
      <c r="Q81" s="280" t="s">
        <v>114</v>
      </c>
      <c r="R81" s="357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468</v>
      </c>
      <c r="N82" s="87" t="s">
        <v>392</v>
      </c>
      <c r="O82" s="87" t="s">
        <v>110</v>
      </c>
      <c r="P82" s="87" t="s">
        <v>111</v>
      </c>
      <c r="Q82" s="192" t="s">
        <v>115</v>
      </c>
      <c r="R82" s="358"/>
    </row>
    <row r="83" spans="1:18" ht="13.5" customHeight="1">
      <c r="A83" s="92" t="s">
        <v>301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302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303</v>
      </c>
      <c r="B85" s="70"/>
      <c r="C85" s="70">
        <v>444</v>
      </c>
      <c r="D85" s="70"/>
      <c r="E85" s="70"/>
      <c r="F85" s="70"/>
      <c r="G85" s="70">
        <v>366</v>
      </c>
      <c r="H85" s="70" t="s">
        <v>254</v>
      </c>
      <c r="I85" s="70" t="s">
        <v>254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810</v>
      </c>
    </row>
    <row r="86" spans="1:18" ht="13.5" customHeight="1">
      <c r="A86" s="90" t="s">
        <v>304</v>
      </c>
      <c r="B86" s="70"/>
      <c r="C86" s="70">
        <v>971.56</v>
      </c>
      <c r="D86" s="70"/>
      <c r="E86" s="70"/>
      <c r="F86" s="70"/>
      <c r="G86" s="70">
        <v>428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1399.56</v>
      </c>
    </row>
    <row r="87" spans="1:18" ht="13.5" customHeight="1">
      <c r="A87" s="89" t="s">
        <v>305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306</v>
      </c>
      <c r="B88" s="71"/>
      <c r="C88" s="71">
        <v>5243</v>
      </c>
      <c r="D88" s="71"/>
      <c r="E88" s="71"/>
      <c r="F88" s="71"/>
      <c r="G88" s="71">
        <v>1701.3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6944.3</v>
      </c>
    </row>
    <row r="89" spans="1:18" ht="13.5" customHeight="1">
      <c r="A89" s="90" t="s">
        <v>36</v>
      </c>
      <c r="B89" s="61"/>
      <c r="C89" s="61">
        <f>SUM(C84:C88)</f>
        <v>6658.5599999999995</v>
      </c>
      <c r="D89" s="61">
        <v>0</v>
      </c>
      <c r="E89" s="61">
        <v>0</v>
      </c>
      <c r="F89" s="61">
        <v>0</v>
      </c>
      <c r="G89" s="61">
        <f>SUM(G84:G88)</f>
        <v>2495.3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9153.86</v>
      </c>
    </row>
    <row r="90" spans="1:18" ht="13.5" customHeight="1" thickBot="1">
      <c r="A90" s="91" t="s">
        <v>37</v>
      </c>
      <c r="B90" s="61"/>
      <c r="C90" s="61">
        <f>18363.88+17863.61+34265.15+12993.8+14779.18+20903.57+6658.56</f>
        <v>125827.75000000003</v>
      </c>
      <c r="D90" s="61">
        <v>0</v>
      </c>
      <c r="E90" s="61">
        <v>0</v>
      </c>
      <c r="F90" s="61">
        <v>0</v>
      </c>
      <c r="G90" s="61">
        <f>3961.3+3535.08+1321.31+4360.6+3138.52+2651.91+2495.3</f>
        <v>21464.02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147291.77000000002</v>
      </c>
    </row>
    <row r="91" spans="1:18" ht="13.5" customHeight="1" thickTop="1">
      <c r="A91" s="92" t="s">
        <v>307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308</v>
      </c>
      <c r="B92" s="76"/>
      <c r="C92" s="76">
        <v>86000</v>
      </c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SUM(C92)</f>
        <v>86000</v>
      </c>
    </row>
    <row r="93" spans="1:18" ht="13.5" customHeight="1">
      <c r="A93" s="90" t="s">
        <v>309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312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314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315</v>
      </c>
      <c r="B99" s="77"/>
      <c r="C99" s="77">
        <v>13423.15</v>
      </c>
      <c r="D99" s="77"/>
      <c r="E99" s="77">
        <v>0</v>
      </c>
      <c r="F99" s="77"/>
      <c r="G99" s="77">
        <v>0</v>
      </c>
      <c r="H99" s="151"/>
      <c r="I99" s="77"/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13423.15</v>
      </c>
    </row>
    <row r="100" spans="1:18" ht="13.5" customHeight="1">
      <c r="A100" s="90" t="s">
        <v>36</v>
      </c>
      <c r="B100" s="61"/>
      <c r="C100" s="61">
        <f>SUM(C92:C99)</f>
        <v>99423.15</v>
      </c>
      <c r="D100" s="61">
        <v>0</v>
      </c>
      <c r="E100" s="61">
        <f>SUM(E99)</f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SUM(R92:R99)</f>
        <v>99423.15</v>
      </c>
    </row>
    <row r="101" spans="1:18" ht="13.5" customHeight="1" thickBot="1">
      <c r="A101" s="91" t="s">
        <v>37</v>
      </c>
      <c r="B101" s="93"/>
      <c r="C101" s="93">
        <f>13417.27+1700+19750+12150+3860+99423.15</f>
        <v>150300.41999999998</v>
      </c>
      <c r="D101" s="93">
        <v>0</v>
      </c>
      <c r="E101" s="93">
        <f>550+1200+900</f>
        <v>2650</v>
      </c>
      <c r="F101" s="93">
        <v>0</v>
      </c>
      <c r="G101" s="93">
        <f>30000+1900+2400+4300</f>
        <v>38600</v>
      </c>
      <c r="H101" s="93">
        <v>0</v>
      </c>
      <c r="I101" s="93">
        <v>0</v>
      </c>
      <c r="J101" s="93">
        <v>0</v>
      </c>
      <c r="K101" s="93">
        <f>1500+2300+1920+1200</f>
        <v>6920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198470.41999999998</v>
      </c>
    </row>
    <row r="102" spans="1:18" ht="13.5" customHeight="1" thickTop="1">
      <c r="A102" s="94" t="s">
        <v>316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317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319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143000</v>
      </c>
      <c r="R105" s="70">
        <f>SUM(Q105)</f>
        <v>143000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SUM(Q105)</f>
        <v>143000</v>
      </c>
      <c r="R106" s="61">
        <f>SUM(D106:Q106)</f>
        <v>143000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143000</f>
        <v>143000</v>
      </c>
      <c r="R107" s="73">
        <f>SUM(Q107)</f>
        <v>143000</v>
      </c>
    </row>
    <row r="108" spans="1:18" ht="13.5" customHeight="1" thickTop="1">
      <c r="A108" s="94" t="s">
        <v>320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321</v>
      </c>
      <c r="B109" s="70"/>
      <c r="C109" s="76">
        <v>10000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10000</v>
      </c>
    </row>
    <row r="110" spans="1:18" ht="13.5" customHeight="1">
      <c r="A110" s="94" t="s">
        <v>322</v>
      </c>
      <c r="B110" s="71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0" t="s">
        <v>391</v>
      </c>
      <c r="B111" s="289"/>
      <c r="C111" s="288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323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10000</v>
      </c>
      <c r="D113" s="61">
        <v>0</v>
      </c>
      <c r="E113" s="61">
        <v>0</v>
      </c>
      <c r="F113" s="61">
        <v>0</v>
      </c>
      <c r="G113" s="61">
        <f>SUM(G110)</f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10000</v>
      </c>
    </row>
    <row r="114" spans="1:18" ht="13.5" customHeight="1" thickBot="1">
      <c r="A114" s="91" t="s">
        <v>37</v>
      </c>
      <c r="B114" s="93"/>
      <c r="C114" s="93">
        <f>10000</f>
        <v>10000</v>
      </c>
      <c r="D114" s="93">
        <v>0</v>
      </c>
      <c r="E114" s="93">
        <v>0</v>
      </c>
      <c r="F114" s="93">
        <v>0</v>
      </c>
      <c r="G114" s="93">
        <f>384580+590940</f>
        <v>975520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73">
        <f>SUM(C114:Q114)</f>
        <v>985520</v>
      </c>
    </row>
    <row r="115" spans="1:18" ht="13.5" customHeight="1" thickTop="1">
      <c r="A115" s="94" t="s">
        <v>324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325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22005</v>
      </c>
      <c r="C119" s="61">
        <f>SUM(C22+C28+C33+C46+C54+C61+C76+C89+C100+C106++C113)</f>
        <v>640231.06</v>
      </c>
      <c r="D119" s="150">
        <f>SUM(D118)</f>
        <v>0</v>
      </c>
      <c r="E119" s="150">
        <f>SUM(E22+E28+E33+E46+E54+E61+E76+E89+E100+E106+E113)</f>
        <v>134095</v>
      </c>
      <c r="F119" s="150">
        <f>SUM(F61)</f>
        <v>0</v>
      </c>
      <c r="G119" s="150">
        <f>SUM(G28+G46+G54+G61+G76+G89+G100+G106+G113)</f>
        <v>62472.3</v>
      </c>
      <c r="H119" s="150">
        <f>SUM(H46+H61+H113+H76)</f>
        <v>120025.29999999999</v>
      </c>
      <c r="I119" s="150">
        <f>SUM(I46+I54+I61+I76+I89+I100+I106+I113)</f>
        <v>10000</v>
      </c>
      <c r="J119" s="150">
        <f>SUM(J46+J54+J61+J76+J89+J100+J106+J113)</f>
        <v>288000</v>
      </c>
      <c r="K119" s="150">
        <f>SUM(K28+K33+K46+K54+K61+K76+K89+K100+K106+K113)</f>
        <v>94255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143000</v>
      </c>
      <c r="R119" s="72">
        <f>SUM(B119:Q119)</f>
        <v>1514083.6600000001</v>
      </c>
    </row>
    <row r="120" spans="1:18" ht="13.5" customHeight="1" thickBot="1">
      <c r="A120" s="91" t="s">
        <v>37</v>
      </c>
      <c r="B120" s="73">
        <f>54652+155486+7752+127752+7752+7752+22005</f>
        <v>383151</v>
      </c>
      <c r="C120" s="93">
        <f>527791.88+551486.58+564633.15+780109.15+962974.38+581014.52+640231.06</f>
        <v>4608240.72</v>
      </c>
      <c r="D120" s="93">
        <v>0</v>
      </c>
      <c r="E120" s="93">
        <f>127005+145335+152923+194430+146795+165576+134095</f>
        <v>1066159</v>
      </c>
      <c r="F120" s="93">
        <f>5250+4350</f>
        <v>9600</v>
      </c>
      <c r="G120" s="93">
        <f>59701.3+495779.08+58961.31+662880.6+62148.52+110111.91+62472.3</f>
        <v>1512055.02</v>
      </c>
      <c r="H120" s="93">
        <f>105612.66+48507.72+174136.52+231283.88+120025.3</f>
        <v>679566.0800000001</v>
      </c>
      <c r="I120" s="93">
        <f>10000+10000+10000+10000+10000+10000+10000</f>
        <v>70000</v>
      </c>
      <c r="J120" s="93">
        <f>3000+288000</f>
        <v>291000</v>
      </c>
      <c r="K120" s="93">
        <f>99320+95070+111266+119929+108499+101285+94255</f>
        <v>729624</v>
      </c>
      <c r="L120" s="93">
        <v>0</v>
      </c>
      <c r="M120" s="93">
        <v>0</v>
      </c>
      <c r="N120" s="93">
        <v>0</v>
      </c>
      <c r="O120" s="93">
        <f>60169+57420</f>
        <v>117589</v>
      </c>
      <c r="P120" s="93">
        <f>5952+167215</f>
        <v>173167</v>
      </c>
      <c r="Q120" s="93">
        <f>143000</f>
        <v>143000</v>
      </c>
      <c r="R120" s="73">
        <f>SUM(B120:Q120)</f>
        <v>9783151.82</v>
      </c>
    </row>
    <row r="121" ht="15" thickTop="1"/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1">
      <selection activeCell="I110" sqref="I1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16.5">
      <c r="A2" s="351" t="s">
        <v>481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ht="16.5">
      <c r="A3" s="352" t="s">
        <v>566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3:18" s="123" customFormat="1" ht="16.5" customHeight="1"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55" t="s">
        <v>393</v>
      </c>
      <c r="N5" s="356"/>
      <c r="O5" s="354" t="s">
        <v>100</v>
      </c>
      <c r="P5" s="354"/>
      <c r="Q5" s="281" t="s">
        <v>114</v>
      </c>
      <c r="R5" s="357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468</v>
      </c>
      <c r="N6" s="87" t="s">
        <v>392</v>
      </c>
      <c r="O6" s="87" t="s">
        <v>110</v>
      </c>
      <c r="P6" s="87" t="s">
        <v>111</v>
      </c>
      <c r="Q6" s="192" t="s">
        <v>115</v>
      </c>
      <c r="R6" s="358"/>
    </row>
    <row r="7" spans="1:18" ht="14.25">
      <c r="A7" s="88" t="s">
        <v>256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257</v>
      </c>
      <c r="B8" s="67">
        <v>500</v>
      </c>
      <c r="C8" s="67"/>
      <c r="D8" s="67"/>
      <c r="E8" s="67" t="s">
        <v>254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</v>
      </c>
    </row>
    <row r="9" spans="1:18" ht="14.25">
      <c r="A9" s="90" t="s">
        <v>479</v>
      </c>
      <c r="B9" s="70">
        <v>597200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597200</v>
      </c>
    </row>
    <row r="10" spans="1:18" ht="14.25">
      <c r="A10" s="90" t="s">
        <v>480</v>
      </c>
      <c r="B10" s="70">
        <v>141600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141600</v>
      </c>
    </row>
    <row r="11" spans="1:18" ht="14.25">
      <c r="A11" s="90" t="s">
        <v>260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261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739300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739300</v>
      </c>
    </row>
    <row r="14" spans="1:18" ht="15" thickBot="1">
      <c r="A14" s="91" t="s">
        <v>37</v>
      </c>
      <c r="B14" s="73">
        <f>760350+757300+753000+749850+744500+742200+739300</f>
        <v>5246500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5246500</v>
      </c>
    </row>
    <row r="15" spans="1:18" ht="15" thickTop="1">
      <c r="A15" s="92" t="s">
        <v>262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447</v>
      </c>
    </row>
    <row r="16" spans="1:18" ht="14.25">
      <c r="A16" s="90" t="s">
        <v>263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264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265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266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267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268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270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16570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16570</v>
      </c>
    </row>
    <row r="26" spans="1:18" ht="14.25">
      <c r="A26" s="90" t="s">
        <v>271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272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16570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16570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16570+15810+16190+16190+16190+16190+16570</f>
        <v>113710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113710</v>
      </c>
    </row>
    <row r="30" spans="1:18" ht="15" thickTop="1">
      <c r="A30" s="89" t="s">
        <v>269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273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274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354" t="s">
        <v>99</v>
      </c>
      <c r="L41" s="354"/>
      <c r="M41" s="355" t="s">
        <v>393</v>
      </c>
      <c r="N41" s="356"/>
      <c r="O41" s="354" t="s">
        <v>100</v>
      </c>
      <c r="P41" s="354"/>
      <c r="Q41" s="280" t="s">
        <v>114</v>
      </c>
      <c r="R41" s="357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468</v>
      </c>
      <c r="N42" s="87" t="s">
        <v>392</v>
      </c>
      <c r="O42" s="87" t="s">
        <v>110</v>
      </c>
      <c r="P42" s="87" t="s">
        <v>111</v>
      </c>
      <c r="Q42" s="192" t="s">
        <v>115</v>
      </c>
      <c r="R42" s="358"/>
    </row>
    <row r="43" spans="1:18" ht="14.25">
      <c r="A43" s="92" t="s">
        <v>269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275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276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1000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1000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10000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9000+10000+10000+11000+10000+10000+10000</f>
        <v>70000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70000</v>
      </c>
    </row>
    <row r="48" spans="1:18" ht="15" thickTop="1">
      <c r="A48" s="92" t="s">
        <v>277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278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279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280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281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284</v>
      </c>
      <c r="B57" s="215" t="s">
        <v>396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285</v>
      </c>
      <c r="B58" s="76"/>
      <c r="C58" s="76">
        <v>0</v>
      </c>
      <c r="D58" s="76"/>
      <c r="E58" s="76" t="s">
        <v>402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286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287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289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290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291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254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292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294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295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296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297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298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299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354" t="s">
        <v>99</v>
      </c>
      <c r="L81" s="354"/>
      <c r="M81" s="355" t="s">
        <v>393</v>
      </c>
      <c r="N81" s="356"/>
      <c r="O81" s="354" t="s">
        <v>100</v>
      </c>
      <c r="P81" s="354"/>
      <c r="Q81" s="280" t="s">
        <v>114</v>
      </c>
      <c r="R81" s="357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468</v>
      </c>
      <c r="N82" s="87" t="s">
        <v>392</v>
      </c>
      <c r="O82" s="87" t="s">
        <v>110</v>
      </c>
      <c r="P82" s="87" t="s">
        <v>111</v>
      </c>
      <c r="Q82" s="192" t="s">
        <v>115</v>
      </c>
      <c r="R82" s="358"/>
    </row>
    <row r="83" spans="1:18" ht="13.5" customHeight="1">
      <c r="A83" s="92" t="s">
        <v>301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302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303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254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304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305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306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307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308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309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312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314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315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317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319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321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322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391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323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324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325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739300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SUM(H28+H46)</f>
        <v>26570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765870</v>
      </c>
    </row>
    <row r="120" spans="1:18" ht="13.5" customHeight="1" thickBot="1">
      <c r="A120" s="91" t="s">
        <v>37</v>
      </c>
      <c r="B120" s="73">
        <f>760350+757300+753000+749850+744500+742200+739300</f>
        <v>5246500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25570+25810+26190+27190+26190+26190+26570</f>
        <v>183710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73">
        <f>SUM(B120:Q120)</f>
        <v>5430210</v>
      </c>
    </row>
    <row r="121" ht="15" thickTop="1"/>
  </sheetData>
  <sheetProtection/>
  <mergeCells count="28">
    <mergeCell ref="O81:P81"/>
    <mergeCell ref="R81:R82"/>
    <mergeCell ref="B81:B82"/>
    <mergeCell ref="C81:E81"/>
    <mergeCell ref="G81:H81"/>
    <mergeCell ref="I81:J81"/>
    <mergeCell ref="K81:L81"/>
    <mergeCell ref="M81:N81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A32" sqref="A32:E32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543</v>
      </c>
      <c r="B1" s="298"/>
      <c r="C1" s="298"/>
      <c r="D1" s="298"/>
      <c r="E1" s="298"/>
    </row>
    <row r="2" spans="1:5" ht="21">
      <c r="A2" s="298" t="s">
        <v>249</v>
      </c>
      <c r="B2" s="298"/>
      <c r="C2" s="298"/>
      <c r="D2" s="298"/>
      <c r="E2" s="298"/>
    </row>
    <row r="3" spans="1:8" ht="21">
      <c r="A3" s="171" t="s">
        <v>137</v>
      </c>
      <c r="B3" s="171" t="s">
        <v>138</v>
      </c>
      <c r="C3" s="172" t="s">
        <v>139</v>
      </c>
      <c r="D3" s="171" t="s">
        <v>140</v>
      </c>
      <c r="E3" s="173" t="s">
        <v>141</v>
      </c>
      <c r="H3" s="22" t="s">
        <v>394</v>
      </c>
    </row>
    <row r="4" spans="1:5" ht="21">
      <c r="A4" s="174">
        <v>1</v>
      </c>
      <c r="B4" s="202">
        <v>21549</v>
      </c>
      <c r="C4" s="175" t="s">
        <v>521</v>
      </c>
      <c r="D4" s="174" t="s">
        <v>401</v>
      </c>
      <c r="E4" s="176">
        <v>50000</v>
      </c>
    </row>
    <row r="5" spans="1:5" ht="21">
      <c r="A5" s="174">
        <v>2</v>
      </c>
      <c r="B5" s="202">
        <v>21585</v>
      </c>
      <c r="C5" s="175" t="s">
        <v>534</v>
      </c>
      <c r="D5" s="174" t="s">
        <v>401</v>
      </c>
      <c r="E5" s="176">
        <v>50000</v>
      </c>
    </row>
    <row r="6" spans="1:5" ht="21">
      <c r="A6" s="174">
        <v>3</v>
      </c>
      <c r="B6" s="202">
        <v>21351</v>
      </c>
      <c r="C6" s="175" t="s">
        <v>518</v>
      </c>
      <c r="D6" s="174" t="s">
        <v>222</v>
      </c>
      <c r="E6" s="176">
        <v>16000</v>
      </c>
    </row>
    <row r="7" spans="1:5" ht="21">
      <c r="A7" s="174">
        <v>4</v>
      </c>
      <c r="B7" s="202">
        <v>21449</v>
      </c>
      <c r="C7" s="175" t="s">
        <v>453</v>
      </c>
      <c r="D7" s="174" t="s">
        <v>223</v>
      </c>
      <c r="E7" s="176">
        <v>44000</v>
      </c>
    </row>
    <row r="8" spans="1:5" ht="21">
      <c r="A8" s="174">
        <v>5</v>
      </c>
      <c r="B8" s="202">
        <v>21541</v>
      </c>
      <c r="C8" s="175" t="s">
        <v>519</v>
      </c>
      <c r="D8" s="174" t="s">
        <v>520</v>
      </c>
      <c r="E8" s="176">
        <v>40000</v>
      </c>
    </row>
    <row r="9" spans="1:5" ht="21">
      <c r="A9" s="174">
        <v>6</v>
      </c>
      <c r="B9" s="202">
        <v>21541</v>
      </c>
      <c r="C9" s="175" t="s">
        <v>516</v>
      </c>
      <c r="D9" s="174" t="s">
        <v>517</v>
      </c>
      <c r="E9" s="176">
        <v>76000</v>
      </c>
    </row>
    <row r="10" spans="1:5" ht="21">
      <c r="A10" s="174">
        <v>7</v>
      </c>
      <c r="B10" s="202">
        <v>21478</v>
      </c>
      <c r="C10" s="175" t="s">
        <v>471</v>
      </c>
      <c r="D10" s="174" t="s">
        <v>368</v>
      </c>
      <c r="E10" s="176">
        <v>24000</v>
      </c>
    </row>
    <row r="11" spans="1:5" ht="21">
      <c r="A11" s="174">
        <v>8</v>
      </c>
      <c r="B11" s="202">
        <v>21465</v>
      </c>
      <c r="C11" s="175" t="s">
        <v>473</v>
      </c>
      <c r="D11" s="174" t="s">
        <v>474</v>
      </c>
      <c r="E11" s="176">
        <v>30000</v>
      </c>
    </row>
    <row r="12" spans="1:5" ht="21">
      <c r="A12" s="174">
        <v>9</v>
      </c>
      <c r="B12" s="202">
        <v>240493</v>
      </c>
      <c r="C12" s="175" t="s">
        <v>441</v>
      </c>
      <c r="D12" s="174" t="s">
        <v>224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454</v>
      </c>
      <c r="D13" s="174" t="s">
        <v>455</v>
      </c>
      <c r="E13" s="176">
        <v>40000</v>
      </c>
    </row>
    <row r="14" spans="1:5" ht="21">
      <c r="A14" s="174">
        <v>11</v>
      </c>
      <c r="B14" s="202">
        <v>21522</v>
      </c>
      <c r="C14" s="175" t="s">
        <v>508</v>
      </c>
      <c r="D14" s="174" t="s">
        <v>509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363</v>
      </c>
      <c r="D15" s="174" t="s">
        <v>225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364</v>
      </c>
      <c r="D16" s="174" t="s">
        <v>226</v>
      </c>
      <c r="E16" s="176">
        <v>39000</v>
      </c>
    </row>
    <row r="17" spans="1:5" ht="21">
      <c r="A17" s="174">
        <v>14</v>
      </c>
      <c r="B17" s="202">
        <v>21431</v>
      </c>
      <c r="C17" s="175" t="s">
        <v>470</v>
      </c>
      <c r="D17" s="174" t="s">
        <v>456</v>
      </c>
      <c r="E17" s="176">
        <v>30000</v>
      </c>
    </row>
    <row r="18" spans="1:5" ht="21">
      <c r="A18" s="174">
        <v>15</v>
      </c>
      <c r="B18" s="202">
        <v>21571</v>
      </c>
      <c r="C18" s="175" t="s">
        <v>531</v>
      </c>
      <c r="D18" s="174" t="s">
        <v>532</v>
      </c>
      <c r="E18" s="176">
        <v>70000</v>
      </c>
    </row>
    <row r="19" spans="1:5" ht="21">
      <c r="A19" s="174">
        <v>16</v>
      </c>
      <c r="B19" s="202">
        <v>21470</v>
      </c>
      <c r="C19" s="175" t="s">
        <v>472</v>
      </c>
      <c r="D19" s="174" t="s">
        <v>365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476</v>
      </c>
      <c r="D20" s="174" t="s">
        <v>252</v>
      </c>
      <c r="E20" s="176">
        <v>47000</v>
      </c>
    </row>
    <row r="21" spans="1:5" ht="21">
      <c r="A21" s="174">
        <v>18</v>
      </c>
      <c r="B21" s="202">
        <v>21509</v>
      </c>
      <c r="C21" s="175" t="s">
        <v>494</v>
      </c>
      <c r="D21" s="174" t="s">
        <v>495</v>
      </c>
      <c r="E21" s="176">
        <v>40000</v>
      </c>
    </row>
    <row r="22" spans="1:5" ht="21">
      <c r="A22" s="174">
        <v>19</v>
      </c>
      <c r="B22" s="202" t="s">
        <v>535</v>
      </c>
      <c r="C22" s="175" t="s">
        <v>536</v>
      </c>
      <c r="D22" s="174" t="s">
        <v>537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227</v>
      </c>
      <c r="D23" s="174" t="s">
        <v>228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175</v>
      </c>
      <c r="D24" s="174" t="s">
        <v>229</v>
      </c>
      <c r="E24" s="176">
        <v>8780</v>
      </c>
    </row>
    <row r="25" spans="1:5" ht="21">
      <c r="A25" s="174">
        <v>22</v>
      </c>
      <c r="B25" s="202">
        <v>21541</v>
      </c>
      <c r="C25" s="175" t="s">
        <v>514</v>
      </c>
      <c r="D25" s="174" t="s">
        <v>515</v>
      </c>
      <c r="E25" s="176">
        <v>60000</v>
      </c>
    </row>
    <row r="26" spans="1:5" ht="21">
      <c r="A26" s="174">
        <v>23</v>
      </c>
      <c r="B26" s="202">
        <v>21183</v>
      </c>
      <c r="C26" s="175" t="s">
        <v>397</v>
      </c>
      <c r="D26" s="174" t="s">
        <v>475</v>
      </c>
      <c r="E26" s="176">
        <v>20000</v>
      </c>
    </row>
    <row r="27" spans="1:5" ht="21">
      <c r="A27" s="174">
        <v>24</v>
      </c>
      <c r="B27" s="202">
        <v>21541</v>
      </c>
      <c r="C27" s="175" t="s">
        <v>510</v>
      </c>
      <c r="D27" s="174" t="s">
        <v>511</v>
      </c>
      <c r="E27" s="176">
        <v>24000</v>
      </c>
    </row>
    <row r="28" spans="1:5" ht="21">
      <c r="A28" s="174">
        <v>25</v>
      </c>
      <c r="B28" s="202">
        <v>21541</v>
      </c>
      <c r="C28" s="175" t="s">
        <v>512</v>
      </c>
      <c r="D28" s="174" t="s">
        <v>513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7" t="s">
        <v>19</v>
      </c>
      <c r="B30" s="297"/>
      <c r="C30" s="297"/>
      <c r="D30" s="297"/>
      <c r="E30" s="177">
        <f>SUM(E4:E29)</f>
        <v>1031560</v>
      </c>
    </row>
    <row r="31" ht="21">
      <c r="E31" s="179" t="s">
        <v>254</v>
      </c>
    </row>
    <row r="32" spans="1:6" ht="21">
      <c r="A32" s="299" t="s">
        <v>253</v>
      </c>
      <c r="B32" s="299"/>
      <c r="C32" s="299"/>
      <c r="D32" s="299"/>
      <c r="E32" s="299"/>
      <c r="F32" s="180"/>
    </row>
    <row r="33" spans="1:6" ht="21">
      <c r="A33" s="296" t="s">
        <v>221</v>
      </c>
      <c r="B33" s="296"/>
      <c r="C33" s="296"/>
      <c r="D33" s="296"/>
      <c r="E33" s="296"/>
      <c r="F33" s="296"/>
    </row>
    <row r="34" spans="1:6" ht="21">
      <c r="A34" s="296" t="s">
        <v>567</v>
      </c>
      <c r="B34" s="296"/>
      <c r="C34" s="296"/>
      <c r="D34" s="296"/>
      <c r="E34" s="296"/>
      <c r="F34" s="296"/>
    </row>
    <row r="36" ht="21">
      <c r="I36" s="22" t="s">
        <v>400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43">
      <selection activeCell="B24" sqref="B24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544</v>
      </c>
      <c r="B1" s="300"/>
      <c r="C1" s="300"/>
      <c r="D1" s="300"/>
      <c r="E1" s="34"/>
    </row>
    <row r="2" spans="1:5" ht="23.25">
      <c r="A2" s="300" t="s">
        <v>247</v>
      </c>
      <c r="B2" s="300"/>
      <c r="C2" s="300"/>
      <c r="D2" s="300"/>
      <c r="E2" s="34"/>
    </row>
    <row r="3" spans="1:4" ht="23.25">
      <c r="A3" s="300" t="s">
        <v>230</v>
      </c>
      <c r="B3" s="300"/>
      <c r="C3" s="300"/>
      <c r="D3" s="300"/>
    </row>
    <row r="5" spans="1:4" ht="23.25">
      <c r="A5" s="127" t="s">
        <v>137</v>
      </c>
      <c r="B5" s="127" t="s">
        <v>24</v>
      </c>
      <c r="C5" s="127" t="s">
        <v>70</v>
      </c>
      <c r="D5" s="127" t="s">
        <v>231</v>
      </c>
    </row>
    <row r="6" spans="1:4" ht="23.25">
      <c r="A6" s="139">
        <v>1</v>
      </c>
      <c r="B6" s="140" t="s">
        <v>232</v>
      </c>
      <c r="C6" s="141">
        <v>100000</v>
      </c>
      <c r="D6" s="140"/>
    </row>
    <row r="7" spans="1:4" ht="23.25">
      <c r="A7" s="142">
        <v>2</v>
      </c>
      <c r="B7" s="143" t="s">
        <v>233</v>
      </c>
      <c r="C7" s="144">
        <v>100000</v>
      </c>
      <c r="D7" s="143"/>
    </row>
    <row r="8" spans="1:4" ht="23.25">
      <c r="A8" s="142">
        <v>3</v>
      </c>
      <c r="B8" s="143" t="s">
        <v>234</v>
      </c>
      <c r="C8" s="144">
        <v>100000</v>
      </c>
      <c r="D8" s="143"/>
    </row>
    <row r="9" spans="1:4" ht="23.25">
      <c r="A9" s="142">
        <v>4</v>
      </c>
      <c r="B9" s="143" t="s">
        <v>235</v>
      </c>
      <c r="C9" s="144">
        <v>100000</v>
      </c>
      <c r="D9" s="143"/>
    </row>
    <row r="10" spans="1:4" ht="23.25">
      <c r="A10" s="142">
        <v>5</v>
      </c>
      <c r="B10" s="143" t="s">
        <v>236</v>
      </c>
      <c r="C10" s="144">
        <v>100000</v>
      </c>
      <c r="D10" s="143"/>
    </row>
    <row r="11" spans="1:4" ht="23.25">
      <c r="A11" s="142">
        <v>6</v>
      </c>
      <c r="B11" s="143" t="s">
        <v>237</v>
      </c>
      <c r="C11" s="144">
        <v>100000</v>
      </c>
      <c r="D11" s="143"/>
    </row>
    <row r="12" spans="1:4" ht="23.25">
      <c r="A12" s="142">
        <v>7</v>
      </c>
      <c r="B12" s="143" t="s">
        <v>238</v>
      </c>
      <c r="C12" s="144">
        <v>100000</v>
      </c>
      <c r="D12" s="143"/>
    </row>
    <row r="13" spans="1:4" ht="23.25">
      <c r="A13" s="142">
        <v>8</v>
      </c>
      <c r="B13" s="143" t="s">
        <v>239</v>
      </c>
      <c r="C13" s="144">
        <v>100000</v>
      </c>
      <c r="D13" s="143"/>
    </row>
    <row r="14" spans="1:4" ht="23.25">
      <c r="A14" s="142">
        <v>9</v>
      </c>
      <c r="B14" s="143" t="s">
        <v>240</v>
      </c>
      <c r="C14" s="144">
        <v>100000</v>
      </c>
      <c r="D14" s="143"/>
    </row>
    <row r="15" spans="1:4" ht="23.25">
      <c r="A15" s="142">
        <v>10</v>
      </c>
      <c r="B15" s="143" t="s">
        <v>241</v>
      </c>
      <c r="C15" s="144">
        <v>100000</v>
      </c>
      <c r="D15" s="143"/>
    </row>
    <row r="16" spans="1:4" ht="23.25">
      <c r="A16" s="145">
        <v>11</v>
      </c>
      <c r="B16" s="146" t="s">
        <v>242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243</v>
      </c>
      <c r="D20" s="126" t="s">
        <v>244</v>
      </c>
    </row>
    <row r="21" spans="1:3" ht="23.25">
      <c r="A21" s="126" t="s">
        <v>245</v>
      </c>
      <c r="C21" s="126" t="s">
        <v>248</v>
      </c>
    </row>
    <row r="22" spans="1:3" ht="23.25">
      <c r="A22" s="126" t="s">
        <v>568</v>
      </c>
      <c r="C22" s="126" t="s">
        <v>246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58">
      <selection activeCell="D61" sqref="D61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544</v>
      </c>
      <c r="B1" s="300"/>
      <c r="C1" s="300"/>
      <c r="D1" s="300"/>
      <c r="E1" s="300"/>
      <c r="F1" s="300"/>
    </row>
    <row r="2" spans="1:6" ht="23.25">
      <c r="A2" s="300" t="s">
        <v>360</v>
      </c>
      <c r="B2" s="300"/>
      <c r="C2" s="300"/>
      <c r="D2" s="300"/>
      <c r="E2" s="300"/>
      <c r="F2" s="300"/>
    </row>
    <row r="3" spans="1:6" ht="23.25">
      <c r="A3" s="302" t="s">
        <v>250</v>
      </c>
      <c r="B3" s="302"/>
      <c r="C3" s="302"/>
      <c r="D3" s="302"/>
      <c r="E3" s="302"/>
      <c r="F3" s="302"/>
    </row>
    <row r="4" spans="1:6" ht="23.25">
      <c r="A4" s="127" t="s">
        <v>137</v>
      </c>
      <c r="B4" s="127" t="s">
        <v>138</v>
      </c>
      <c r="C4" s="128" t="s">
        <v>139</v>
      </c>
      <c r="D4" s="127" t="s">
        <v>140</v>
      </c>
      <c r="E4" s="129" t="s">
        <v>141</v>
      </c>
      <c r="F4" s="129" t="s">
        <v>142</v>
      </c>
    </row>
    <row r="5" spans="1:6" ht="23.25">
      <c r="A5" s="130">
        <v>1</v>
      </c>
      <c r="B5" s="131">
        <v>16233</v>
      </c>
      <c r="C5" s="132" t="s">
        <v>143</v>
      </c>
      <c r="D5" s="130" t="s">
        <v>406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144</v>
      </c>
      <c r="D6" s="130" t="s">
        <v>145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146</v>
      </c>
      <c r="D7" s="130" t="s">
        <v>147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148</v>
      </c>
      <c r="D8" s="130" t="s">
        <v>149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150</v>
      </c>
      <c r="D9" s="130" t="s">
        <v>151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152</v>
      </c>
      <c r="D10" s="130" t="s">
        <v>153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154</v>
      </c>
      <c r="D11" s="130" t="s">
        <v>155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156</v>
      </c>
      <c r="D12" s="130" t="s">
        <v>157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158</v>
      </c>
      <c r="D13" s="130" t="s">
        <v>159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160</v>
      </c>
      <c r="D14" s="130" t="s">
        <v>161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162</v>
      </c>
      <c r="D15" s="130" t="s">
        <v>163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164</v>
      </c>
      <c r="D16" s="130" t="s">
        <v>165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166</v>
      </c>
      <c r="D17" s="130" t="s">
        <v>167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168</v>
      </c>
      <c r="D18" s="130" t="s">
        <v>145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169</v>
      </c>
      <c r="D19" s="130" t="s">
        <v>170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171</v>
      </c>
      <c r="D20" s="130" t="s">
        <v>159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172</v>
      </c>
      <c r="D21" s="130" t="s">
        <v>173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174</v>
      </c>
      <c r="D22" s="130" t="s">
        <v>155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175</v>
      </c>
      <c r="D23" s="130" t="s">
        <v>176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177</v>
      </c>
      <c r="D24" s="130" t="s">
        <v>157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178</v>
      </c>
      <c r="D25" s="130" t="s">
        <v>179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180</v>
      </c>
      <c r="D26" s="130" t="s">
        <v>157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181</v>
      </c>
      <c r="D27" s="130" t="s">
        <v>182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183</v>
      </c>
      <c r="D28" s="130" t="s">
        <v>184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185</v>
      </c>
      <c r="D29" s="130" t="s">
        <v>186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187</v>
      </c>
      <c r="D30" s="130" t="s">
        <v>188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189</v>
      </c>
      <c r="D31" s="130" t="s">
        <v>179</v>
      </c>
      <c r="E31" s="133">
        <v>15000</v>
      </c>
      <c r="F31" s="133">
        <v>188</v>
      </c>
    </row>
    <row r="33" spans="1:6" ht="22.5" customHeight="1">
      <c r="A33" s="127" t="s">
        <v>137</v>
      </c>
      <c r="B33" s="127" t="s">
        <v>138</v>
      </c>
      <c r="C33" s="128" t="s">
        <v>139</v>
      </c>
      <c r="D33" s="127" t="s">
        <v>140</v>
      </c>
      <c r="E33" s="129" t="s">
        <v>141</v>
      </c>
      <c r="F33" s="129" t="s">
        <v>142</v>
      </c>
    </row>
    <row r="34" spans="1:6" ht="22.5" customHeight="1">
      <c r="A34" s="130">
        <v>28</v>
      </c>
      <c r="B34" s="131">
        <v>19283</v>
      </c>
      <c r="C34" s="132" t="s">
        <v>190</v>
      </c>
      <c r="D34" s="130" t="s">
        <v>191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192</v>
      </c>
      <c r="D35" s="130" t="s">
        <v>193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194</v>
      </c>
      <c r="D36" s="130" t="s">
        <v>195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196</v>
      </c>
      <c r="D37" s="130" t="s">
        <v>197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198</v>
      </c>
      <c r="D38" s="130" t="s">
        <v>199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200</v>
      </c>
      <c r="D39" s="130" t="s">
        <v>201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202</v>
      </c>
      <c r="D40" s="130" t="s">
        <v>191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203</v>
      </c>
      <c r="D41" s="130" t="s">
        <v>204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205</v>
      </c>
      <c r="D42" s="130" t="s">
        <v>182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206</v>
      </c>
      <c r="D43" s="130" t="s">
        <v>186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207</v>
      </c>
      <c r="D44" s="130" t="s">
        <v>208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209</v>
      </c>
      <c r="D45" s="130" t="s">
        <v>210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211</v>
      </c>
      <c r="D46" s="130" t="s">
        <v>212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213</v>
      </c>
      <c r="D47" s="130" t="s">
        <v>214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215</v>
      </c>
      <c r="D48" s="130" t="s">
        <v>216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217</v>
      </c>
      <c r="D49" s="130" t="s">
        <v>218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219</v>
      </c>
      <c r="D50" s="130" t="s">
        <v>220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329</v>
      </c>
      <c r="D51" s="130" t="s">
        <v>330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371</v>
      </c>
      <c r="D52" s="130" t="s">
        <v>372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373</v>
      </c>
      <c r="D53" s="130" t="s">
        <v>374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375</v>
      </c>
      <c r="D54" s="130" t="s">
        <v>376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377</v>
      </c>
      <c r="D55" s="130" t="s">
        <v>218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378</v>
      </c>
      <c r="D56" s="130" t="s">
        <v>366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367</v>
      </c>
      <c r="D57" s="130" t="s">
        <v>398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395</v>
      </c>
      <c r="D58" s="130" t="s">
        <v>496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369</v>
      </c>
      <c r="D59" s="130" t="s">
        <v>370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379</v>
      </c>
      <c r="B62" s="301"/>
      <c r="C62" s="301"/>
      <c r="D62" s="301"/>
      <c r="E62" s="301"/>
      <c r="F62" s="301"/>
    </row>
    <row r="63" spans="1:6" ht="22.5" customHeight="1">
      <c r="A63" s="301" t="s">
        <v>221</v>
      </c>
      <c r="B63" s="301"/>
      <c r="C63" s="301"/>
      <c r="D63" s="301"/>
      <c r="E63" s="301"/>
      <c r="F63" s="301"/>
    </row>
    <row r="64" spans="1:6" ht="22.5" customHeight="1">
      <c r="A64" s="301" t="s">
        <v>569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25">
      <selection activeCell="B33" sqref="B33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545</v>
      </c>
      <c r="B1" s="298"/>
      <c r="C1" s="298"/>
    </row>
    <row r="2" spans="1:3" ht="23.25">
      <c r="A2" s="298" t="s">
        <v>360</v>
      </c>
      <c r="B2" s="298"/>
      <c r="C2" s="298"/>
    </row>
    <row r="3" spans="1:3" ht="23.25">
      <c r="A3" s="298" t="s">
        <v>251</v>
      </c>
      <c r="B3" s="298"/>
      <c r="C3" s="298"/>
    </row>
    <row r="4" spans="1:3" ht="19.5" customHeight="1">
      <c r="A4" s="171" t="s">
        <v>137</v>
      </c>
      <c r="B4" s="171" t="s">
        <v>138</v>
      </c>
      <c r="C4" s="173" t="s">
        <v>255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380</v>
      </c>
      <c r="B34" s="299"/>
      <c r="C34" s="299"/>
    </row>
    <row r="35" spans="1:3" ht="23.25">
      <c r="A35" s="308" t="s">
        <v>381</v>
      </c>
      <c r="B35" s="308"/>
      <c r="C35" s="308"/>
    </row>
    <row r="36" spans="1:3" ht="23.25">
      <c r="A36" s="296" t="s">
        <v>570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1"/>
  <sheetViews>
    <sheetView view="pageBreakPreview" zoomScaleSheetLayoutView="100" zoomScalePageLayoutView="0" workbookViewId="0" topLeftCell="A1">
      <selection activeCell="E67" sqref="E67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5" t="s">
        <v>469</v>
      </c>
      <c r="F1" s="315"/>
      <c r="G1" s="315"/>
    </row>
    <row r="2" spans="1:7" ht="19.5" customHeight="1">
      <c r="A2" s="314" t="s">
        <v>20</v>
      </c>
      <c r="B2" s="314"/>
      <c r="C2" s="314"/>
      <c r="D2" s="314"/>
      <c r="E2" s="314"/>
      <c r="F2" s="314"/>
      <c r="G2" s="314"/>
    </row>
    <row r="3" spans="1:7" ht="19.5" customHeight="1">
      <c r="A3" s="314" t="s">
        <v>546</v>
      </c>
      <c r="B3" s="314"/>
      <c r="C3" s="314"/>
      <c r="D3" s="314"/>
      <c r="E3" s="314"/>
      <c r="F3" s="314"/>
      <c r="G3" s="314"/>
    </row>
    <row r="4" spans="1:7" ht="19.5" customHeight="1">
      <c r="A4" s="316" t="s">
        <v>21</v>
      </c>
      <c r="B4" s="317"/>
      <c r="C4" s="317"/>
      <c r="D4" s="318"/>
      <c r="E4" s="319" t="s">
        <v>24</v>
      </c>
      <c r="F4" s="231"/>
      <c r="G4" s="232" t="s">
        <v>70</v>
      </c>
    </row>
    <row r="5" spans="1:7" ht="19.5" customHeight="1">
      <c r="A5" s="232" t="s">
        <v>22</v>
      </c>
      <c r="B5" s="233" t="s">
        <v>415</v>
      </c>
      <c r="C5" s="233" t="s">
        <v>19</v>
      </c>
      <c r="D5" s="234" t="s">
        <v>23</v>
      </c>
      <c r="E5" s="320"/>
      <c r="F5" s="235" t="s">
        <v>25</v>
      </c>
      <c r="G5" s="236" t="s">
        <v>418</v>
      </c>
    </row>
    <row r="6" spans="1:7" ht="19.5" customHeight="1">
      <c r="A6" s="236" t="s">
        <v>28</v>
      </c>
      <c r="B6" s="237" t="s">
        <v>416</v>
      </c>
      <c r="C6" s="238" t="s">
        <v>28</v>
      </c>
      <c r="D6" s="239" t="s">
        <v>28</v>
      </c>
      <c r="E6" s="320"/>
      <c r="F6" s="235" t="s">
        <v>26</v>
      </c>
      <c r="G6" s="236" t="s">
        <v>419</v>
      </c>
    </row>
    <row r="7" spans="1:7" ht="19.5" customHeight="1">
      <c r="A7" s="240"/>
      <c r="B7" s="241" t="s">
        <v>417</v>
      </c>
      <c r="C7" s="241"/>
      <c r="D7" s="242"/>
      <c r="E7" s="321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33464874.42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112.14+13.35+419.58+18951.63+38336.85+329333.5+19031.29</f>
        <v>406198.33999999997</v>
      </c>
      <c r="E9" s="218" t="s">
        <v>39</v>
      </c>
      <c r="F9" s="235" t="s">
        <v>338</v>
      </c>
      <c r="G9" s="244">
        <v>19031.29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3626+2420+2292+5575.6+34703.4+36628.6+3669.8</f>
        <v>88915.40000000001</v>
      </c>
      <c r="E10" s="218" t="s">
        <v>42</v>
      </c>
      <c r="F10" s="235" t="s">
        <v>339</v>
      </c>
      <c r="G10" s="244">
        <v>3669.8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5543.01+4002.89+50238.45+15920.24+3997.75+43495.89+5467.78</f>
        <v>128666.01</v>
      </c>
      <c r="E11" s="218" t="s">
        <v>44</v>
      </c>
      <c r="F11" s="235" t="s">
        <v>340</v>
      </c>
      <c r="G11" s="236">
        <v>5467.78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</f>
        <v>7400</v>
      </c>
      <c r="E12" s="218" t="s">
        <v>46</v>
      </c>
      <c r="F12" s="235" t="s">
        <v>341</v>
      </c>
      <c r="G12" s="236">
        <v>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77</v>
      </c>
      <c r="F13" s="235" t="s">
        <v>342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1170175.13+1291106.59+1189193.64+766361.75+1357236.06+1563036.69+766013.28</f>
        <v>8103123.14</v>
      </c>
      <c r="E14" s="218" t="s">
        <v>48</v>
      </c>
      <c r="F14" s="235" t="s">
        <v>390</v>
      </c>
      <c r="G14" s="236">
        <v>766013.28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2608471+2757832+953263</f>
        <v>6319566</v>
      </c>
      <c r="E15" s="218" t="s">
        <v>126</v>
      </c>
      <c r="F15" s="235" t="s">
        <v>344</v>
      </c>
      <c r="G15" s="236">
        <v>953263</v>
      </c>
    </row>
    <row r="16" spans="1:7" ht="19.5" customHeight="1">
      <c r="A16" s="245"/>
      <c r="B16" s="247">
        <v>8104450</v>
      </c>
      <c r="C16" s="245">
        <v>8104450</v>
      </c>
      <c r="D16" s="247">
        <f>2480170+1713600+53380+1478400</f>
        <v>5725550</v>
      </c>
      <c r="E16" s="218" t="s">
        <v>420</v>
      </c>
      <c r="F16" s="235" t="s">
        <v>465</v>
      </c>
      <c r="G16" s="236">
        <v>1478400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8104450</v>
      </c>
      <c r="C18" s="248">
        <f>SUM(C9:C17)</f>
        <v>31279000</v>
      </c>
      <c r="D18" s="248">
        <f>SUM(D9:D17)</f>
        <v>20779763.89</v>
      </c>
      <c r="E18" s="225" t="s">
        <v>19</v>
      </c>
      <c r="F18" s="249"/>
      <c r="G18" s="250">
        <f>SUM(G9:G17)</f>
        <v>3225845.15</v>
      </c>
    </row>
    <row r="19" spans="1:7" ht="19.5" customHeight="1">
      <c r="A19" s="251"/>
      <c r="B19" s="251"/>
      <c r="C19" s="251"/>
      <c r="D19" s="245">
        <f>1000+78000+14500+35500+313300+9100+181250</f>
        <v>632650</v>
      </c>
      <c r="E19" s="218" t="s">
        <v>408</v>
      </c>
      <c r="F19" s="235" t="s">
        <v>438</v>
      </c>
      <c r="G19" s="244">
        <v>181250</v>
      </c>
    </row>
    <row r="20" spans="1:7" ht="19.5" customHeight="1">
      <c r="A20" s="251"/>
      <c r="B20" s="251"/>
      <c r="C20" s="251"/>
      <c r="D20" s="245"/>
      <c r="E20" s="218" t="s">
        <v>118</v>
      </c>
      <c r="F20" s="235" t="s">
        <v>443</v>
      </c>
      <c r="G20" s="244"/>
    </row>
    <row r="21" spans="1:7" ht="19.5" customHeight="1">
      <c r="A21" s="251"/>
      <c r="B21" s="251"/>
      <c r="C21" s="251"/>
      <c r="D21" s="245">
        <f>493.06+209.15+235.85+199.36+17.8+117.48+268.78</f>
        <v>1541.48</v>
      </c>
      <c r="E21" s="218" t="s">
        <v>335</v>
      </c>
      <c r="F21" s="235" t="s">
        <v>439</v>
      </c>
      <c r="G21" s="244">
        <v>268.78</v>
      </c>
    </row>
    <row r="22" spans="1:7" ht="19.5" customHeight="1">
      <c r="A22" s="251"/>
      <c r="B22" s="251"/>
      <c r="C22" s="251"/>
      <c r="D22" s="245">
        <f>1569410+544890</f>
        <v>2114300</v>
      </c>
      <c r="E22" s="218" t="s">
        <v>449</v>
      </c>
      <c r="F22" s="235" t="s">
        <v>450</v>
      </c>
      <c r="G22" s="244">
        <v>544890</v>
      </c>
    </row>
    <row r="23" spans="1:7" ht="19.5" customHeight="1">
      <c r="A23" s="251"/>
      <c r="B23" s="251"/>
      <c r="C23" s="251"/>
      <c r="D23" s="245">
        <f>785920+783490+544890</f>
        <v>2114300</v>
      </c>
      <c r="E23" s="218" t="s">
        <v>451</v>
      </c>
      <c r="F23" s="235" t="s">
        <v>457</v>
      </c>
      <c r="G23" s="244">
        <v>0</v>
      </c>
    </row>
    <row r="24" spans="1:7" ht="19.5" customHeight="1">
      <c r="A24" s="251"/>
      <c r="B24" s="251"/>
      <c r="C24" s="251"/>
      <c r="D24" s="245">
        <f>124000+190000+186000+133000</f>
        <v>633000</v>
      </c>
      <c r="E24" s="218" t="s">
        <v>442</v>
      </c>
      <c r="F24" s="235" t="s">
        <v>440</v>
      </c>
      <c r="G24" s="244">
        <v>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433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458</v>
      </c>
      <c r="F26" s="235" t="s">
        <v>483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22540.91+277870.57+205869.41+17560.93+22674.49+412707.76+266319.49</f>
        <v>1225543.56</v>
      </c>
      <c r="E27" s="218" t="s">
        <v>129</v>
      </c>
      <c r="F27" s="235" t="s">
        <v>444</v>
      </c>
      <c r="G27" s="244">
        <v>266319.49</v>
      </c>
    </row>
    <row r="28" spans="1:7" ht="19.5" customHeight="1">
      <c r="A28" s="252"/>
      <c r="B28" s="252"/>
      <c r="C28" s="252"/>
      <c r="D28" s="248">
        <f>SUM(D19:D27)</f>
        <v>6730785.040000001</v>
      </c>
      <c r="E28" s="225" t="s">
        <v>19</v>
      </c>
      <c r="F28" s="235"/>
      <c r="G28" s="250">
        <f>SUM(G19:G27)</f>
        <v>992728.27</v>
      </c>
    </row>
    <row r="29" spans="1:7" ht="19.5" customHeight="1">
      <c r="A29" s="244"/>
      <c r="B29" s="244"/>
      <c r="C29" s="244"/>
      <c r="D29" s="248">
        <f>SUM(D18+D28)</f>
        <v>27510548.93</v>
      </c>
      <c r="E29" s="225" t="s">
        <v>30</v>
      </c>
      <c r="F29" s="235"/>
      <c r="G29" s="250">
        <f>SUM(G18+G28)</f>
        <v>4218573.42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54652+155486+7752+127752+7752+7752+22005</f>
        <v>383151</v>
      </c>
      <c r="E40" s="218" t="s">
        <v>31</v>
      </c>
      <c r="F40" s="235" t="s">
        <v>430</v>
      </c>
      <c r="G40" s="258">
        <v>22005</v>
      </c>
    </row>
    <row r="41" spans="1:7" ht="16.5" customHeight="1">
      <c r="A41" s="244"/>
      <c r="B41" s="244">
        <f>3114000+1214500</f>
        <v>4328500</v>
      </c>
      <c r="C41" s="244"/>
      <c r="D41" s="258">
        <f>611900+609600+606100+605300+600800+598500+597200</f>
        <v>4229400</v>
      </c>
      <c r="E41" s="218" t="s">
        <v>459</v>
      </c>
      <c r="F41" s="235" t="s">
        <v>430</v>
      </c>
      <c r="G41" s="258">
        <v>597200</v>
      </c>
    </row>
    <row r="42" spans="1:7" ht="16.5" customHeight="1">
      <c r="A42" s="244"/>
      <c r="B42" s="244">
        <f>936000+156000</f>
        <v>1092000</v>
      </c>
      <c r="C42" s="244"/>
      <c r="D42" s="258">
        <f>148000+147200+146400+144000+143200+143200+141600</f>
        <v>1013600</v>
      </c>
      <c r="E42" s="218" t="s">
        <v>460</v>
      </c>
      <c r="F42" s="235" t="s">
        <v>430</v>
      </c>
      <c r="G42" s="258">
        <v>141600</v>
      </c>
    </row>
    <row r="43" spans="1:7" ht="16.5" customHeight="1">
      <c r="A43" s="244"/>
      <c r="B43" s="244">
        <f>2500+2000</f>
        <v>4500</v>
      </c>
      <c r="C43" s="244"/>
      <c r="D43" s="258">
        <f>450+500+500+550+500+500+500</f>
        <v>3500</v>
      </c>
      <c r="E43" s="218" t="s">
        <v>461</v>
      </c>
      <c r="F43" s="235" t="s">
        <v>430</v>
      </c>
      <c r="G43" s="258">
        <v>500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235860+235860+235860+235860+235860+235860+235860</f>
        <v>1651020</v>
      </c>
      <c r="E44" s="218" t="s">
        <v>331</v>
      </c>
      <c r="F44" s="235" t="s">
        <v>431</v>
      </c>
      <c r="G44" s="258">
        <v>235860</v>
      </c>
    </row>
    <row r="45" spans="1:7" ht="16.5" customHeight="1">
      <c r="A45" s="236">
        <v>4848400</v>
      </c>
      <c r="B45" s="236" t="s">
        <v>254</v>
      </c>
      <c r="C45" s="236">
        <f>4848400</f>
        <v>4848400</v>
      </c>
      <c r="D45" s="258">
        <f>361120+359990+359990+511183+380859+374145+380675</f>
        <v>2727962</v>
      </c>
      <c r="E45" s="218" t="s">
        <v>332</v>
      </c>
      <c r="F45" s="235" t="s">
        <v>432</v>
      </c>
      <c r="G45" s="258">
        <v>380675</v>
      </c>
    </row>
    <row r="46" spans="1:7" ht="16.5" customHeight="1">
      <c r="A46" s="236"/>
      <c r="B46" s="236">
        <f>80950+65900</f>
        <v>146850</v>
      </c>
      <c r="C46" s="236"/>
      <c r="D46" s="258">
        <f>16570+15810+16190+16190+16190+16190+16570</f>
        <v>113710</v>
      </c>
      <c r="E46" s="218" t="s">
        <v>466</v>
      </c>
      <c r="F46" s="235" t="s">
        <v>432</v>
      </c>
      <c r="G46" s="258">
        <v>16570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13285+13285+13285+13385+13310+13310+13760</f>
        <v>93620</v>
      </c>
      <c r="E47" s="218" t="s">
        <v>333</v>
      </c>
      <c r="F47" s="235" t="s">
        <v>432</v>
      </c>
      <c r="G47" s="258">
        <v>13760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353010+117670+117670+117670+111203</f>
        <v>817223</v>
      </c>
      <c r="E48" s="218" t="s">
        <v>334</v>
      </c>
      <c r="F48" s="235" t="s">
        <v>432</v>
      </c>
      <c r="G48" s="258">
        <v>111203</v>
      </c>
    </row>
    <row r="49" spans="1:7" ht="16.5" customHeight="1">
      <c r="A49" s="244"/>
      <c r="B49" s="244">
        <f>50000+40000</f>
        <v>90000</v>
      </c>
      <c r="C49" s="244"/>
      <c r="D49" s="258">
        <f>9000+10000+10000+11000+10000+10000+10000</f>
        <v>70000</v>
      </c>
      <c r="E49" s="218" t="s">
        <v>467</v>
      </c>
      <c r="F49" s="235" t="s">
        <v>432</v>
      </c>
      <c r="G49" s="258">
        <v>10000</v>
      </c>
    </row>
    <row r="50" spans="1:7" ht="16.5" customHeight="1">
      <c r="A50" s="244">
        <v>1014000</v>
      </c>
      <c r="B50" s="244"/>
      <c r="C50" s="244">
        <f>1014000-50000</f>
        <v>964000</v>
      </c>
      <c r="D50" s="258">
        <f>33160+36531+23500+32150+27280+35163+23500</f>
        <v>211284</v>
      </c>
      <c r="E50" s="218" t="s">
        <v>6</v>
      </c>
      <c r="F50" s="235" t="s">
        <v>433</v>
      </c>
      <c r="G50" s="258">
        <v>23500</v>
      </c>
    </row>
    <row r="51" spans="1:7" ht="16.5" customHeight="1">
      <c r="A51" s="244">
        <v>3217600</v>
      </c>
      <c r="B51" s="244"/>
      <c r="C51" s="244">
        <f>3217600+40000</f>
        <v>3257600</v>
      </c>
      <c r="D51" s="258">
        <f>18904+240248.7+95004.04+281383.07+527412.92+124000.79+362204.59</f>
        <v>1649158.11</v>
      </c>
      <c r="E51" s="218" t="s">
        <v>7</v>
      </c>
      <c r="F51" s="235" t="s">
        <v>359</v>
      </c>
      <c r="G51" s="258">
        <v>362204.59</v>
      </c>
    </row>
    <row r="52" spans="1:7" ht="16.5" customHeight="1">
      <c r="A52" s="244"/>
      <c r="B52" s="244">
        <v>63700</v>
      </c>
      <c r="C52" s="244"/>
      <c r="D52" s="258"/>
      <c r="E52" s="218" t="s">
        <v>507</v>
      </c>
      <c r="F52" s="235" t="s">
        <v>359</v>
      </c>
      <c r="G52" s="258">
        <v>0</v>
      </c>
    </row>
    <row r="53" spans="1:7" ht="16.5" customHeight="1">
      <c r="A53" s="244">
        <v>1814570</v>
      </c>
      <c r="B53" s="244"/>
      <c r="C53" s="244">
        <f>1814570+10000</f>
        <v>1824570</v>
      </c>
      <c r="D53" s="258">
        <f>25396+9605+122230.62+56350+184713.8+273857.04+103299.06</f>
        <v>775451.52</v>
      </c>
      <c r="E53" s="218" t="s">
        <v>8</v>
      </c>
      <c r="F53" s="235" t="s">
        <v>434</v>
      </c>
      <c r="G53" s="258">
        <v>103299.06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22325.18+21398.69+35586.46+17354.4+17917.7+23555.48+9153.86</f>
        <v>147291.76999999996</v>
      </c>
      <c r="E54" s="218" t="s">
        <v>9</v>
      </c>
      <c r="F54" s="235" t="s">
        <v>435</v>
      </c>
      <c r="G54" s="258">
        <v>9153.86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2050+45717.27+5520+19750+16950+9060+99423.15</f>
        <v>198470.41999999998</v>
      </c>
      <c r="E55" s="218" t="s">
        <v>54</v>
      </c>
      <c r="F55" s="235" t="s">
        <v>436</v>
      </c>
      <c r="G55" s="258">
        <v>99423.15</v>
      </c>
    </row>
    <row r="56" spans="1:7" ht="16.5" customHeight="1">
      <c r="A56" s="244">
        <v>2928000</v>
      </c>
      <c r="B56" s="244">
        <v>3857300</v>
      </c>
      <c r="C56" s="244">
        <f>2928000</f>
        <v>2928000</v>
      </c>
      <c r="D56" s="258">
        <f>143000</f>
        <v>143000</v>
      </c>
      <c r="E56" s="218" t="s">
        <v>55</v>
      </c>
      <c r="F56" s="235" t="s">
        <v>343</v>
      </c>
      <c r="G56" s="258">
        <v>143000</v>
      </c>
    </row>
    <row r="57" spans="1:7" ht="16.5" customHeight="1">
      <c r="A57" s="244">
        <v>2305000</v>
      </c>
      <c r="B57" s="244"/>
      <c r="C57" s="244">
        <v>2305000</v>
      </c>
      <c r="D57" s="258">
        <f>384580+590940+10000</f>
        <v>985520</v>
      </c>
      <c r="E57" s="218" t="s">
        <v>32</v>
      </c>
      <c r="F57" s="235" t="s">
        <v>437</v>
      </c>
      <c r="G57" s="258">
        <v>10000</v>
      </c>
    </row>
    <row r="58" spans="1:7" ht="16.5" customHeight="1">
      <c r="A58" s="244"/>
      <c r="B58" s="244"/>
      <c r="C58" s="244"/>
      <c r="D58" s="258"/>
      <c r="E58" s="218"/>
      <c r="F58" s="235"/>
      <c r="G58" s="258"/>
    </row>
    <row r="59" spans="1:7" ht="16.5" customHeight="1">
      <c r="A59" s="250">
        <f>SUM(A40:A58)</f>
        <v>23174550</v>
      </c>
      <c r="B59" s="250">
        <f>SUM(B41:B57)</f>
        <v>9582850</v>
      </c>
      <c r="C59" s="250">
        <f>SUM(C40:C58)</f>
        <v>23174550</v>
      </c>
      <c r="D59" s="260">
        <f>SUM(D40:D57)</f>
        <v>15213361.819999998</v>
      </c>
      <c r="E59" s="225" t="s">
        <v>19</v>
      </c>
      <c r="F59" s="235"/>
      <c r="G59" s="250">
        <f>SUM(G40:G58)</f>
        <v>2279953.66</v>
      </c>
    </row>
    <row r="60" spans="1:7" ht="15.75" customHeight="1">
      <c r="A60" s="244"/>
      <c r="B60" s="244"/>
      <c r="C60" s="244"/>
      <c r="D60" s="258">
        <f>10400+77000+13900+27700+313300+189850+500</f>
        <v>632650</v>
      </c>
      <c r="E60" s="218" t="s">
        <v>408</v>
      </c>
      <c r="F60" s="235" t="s">
        <v>438</v>
      </c>
      <c r="G60" s="244">
        <v>500</v>
      </c>
    </row>
    <row r="61" spans="1:7" ht="16.5" customHeight="1">
      <c r="A61" s="244"/>
      <c r="B61" s="244"/>
      <c r="C61" s="244"/>
      <c r="D61" s="245">
        <f>785920+783490+544890</f>
        <v>2114300</v>
      </c>
      <c r="E61" s="218" t="s">
        <v>449</v>
      </c>
      <c r="F61" s="235" t="s">
        <v>450</v>
      </c>
      <c r="G61" s="244">
        <v>0</v>
      </c>
    </row>
    <row r="62" spans="1:7" ht="16.5" customHeight="1">
      <c r="A62" s="244"/>
      <c r="B62" s="244"/>
      <c r="C62" s="244"/>
      <c r="D62" s="245">
        <f>1569410+544890</f>
        <v>2114300</v>
      </c>
      <c r="E62" s="218" t="s">
        <v>451</v>
      </c>
      <c r="F62" s="235" t="s">
        <v>452</v>
      </c>
      <c r="G62" s="244">
        <v>544890</v>
      </c>
    </row>
    <row r="63" spans="1:7" ht="16.5" customHeight="1">
      <c r="A63" s="244"/>
      <c r="B63" s="244"/>
      <c r="C63" s="244"/>
      <c r="D63" s="258">
        <f>154000+40000+376000+70000+63000</f>
        <v>703000</v>
      </c>
      <c r="E63" s="218" t="s">
        <v>442</v>
      </c>
      <c r="F63" s="235" t="s">
        <v>440</v>
      </c>
      <c r="G63" s="258">
        <v>0</v>
      </c>
    </row>
    <row r="64" spans="1:7" ht="16.5" customHeight="1">
      <c r="A64" s="244"/>
      <c r="B64" s="244"/>
      <c r="C64" s="244"/>
      <c r="D64" s="258">
        <f>231482.61+22255.07+286867.84+28084.4+61655.14+279583.74+267815.56</f>
        <v>1177744.36</v>
      </c>
      <c r="E64" s="218" t="s">
        <v>135</v>
      </c>
      <c r="F64" s="235" t="s">
        <v>444</v>
      </c>
      <c r="G64" s="258">
        <v>267815.56</v>
      </c>
    </row>
    <row r="65" spans="1:7" ht="16.5" customHeight="1">
      <c r="A65" s="244"/>
      <c r="B65" s="244"/>
      <c r="C65" s="244"/>
      <c r="D65" s="258">
        <f>399873.04+193068</f>
        <v>592941.04</v>
      </c>
      <c r="E65" s="218" t="s">
        <v>409</v>
      </c>
      <c r="F65" s="235" t="s">
        <v>445</v>
      </c>
      <c r="G65" s="258">
        <v>0</v>
      </c>
    </row>
    <row r="66" spans="1:7" ht="16.5" customHeight="1">
      <c r="A66" s="244"/>
      <c r="B66" s="244"/>
      <c r="C66" s="244"/>
      <c r="D66" s="258">
        <f>964000+448800+815000+764200+407100</f>
        <v>3399100</v>
      </c>
      <c r="E66" s="218" t="s">
        <v>10</v>
      </c>
      <c r="F66" s="235" t="s">
        <v>433</v>
      </c>
      <c r="G66" s="258">
        <v>407100</v>
      </c>
    </row>
    <row r="67" spans="1:7" ht="16.5" customHeight="1">
      <c r="A67" s="244"/>
      <c r="B67" s="244"/>
      <c r="C67" s="244"/>
      <c r="D67" s="258"/>
      <c r="E67" s="218"/>
      <c r="F67" s="235"/>
      <c r="G67" s="258"/>
    </row>
    <row r="68" spans="1:7" ht="16.5" customHeight="1">
      <c r="A68" s="244"/>
      <c r="B68" s="244"/>
      <c r="C68" s="244"/>
      <c r="D68" s="258"/>
      <c r="E68" s="218"/>
      <c r="F68" s="235"/>
      <c r="G68" s="258"/>
    </row>
    <row r="69" spans="1:7" ht="16.5" customHeight="1">
      <c r="A69" s="244"/>
      <c r="B69" s="244"/>
      <c r="C69" s="244"/>
      <c r="D69" s="258"/>
      <c r="E69" s="219"/>
      <c r="F69" s="235"/>
      <c r="G69" s="258"/>
    </row>
    <row r="70" spans="1:7" ht="16.5" customHeight="1">
      <c r="A70" s="244"/>
      <c r="B70" s="244"/>
      <c r="C70" s="244"/>
      <c r="D70" s="248">
        <f>SUM(D60:D69)</f>
        <v>10734035.4</v>
      </c>
      <c r="E70" s="225" t="s">
        <v>19</v>
      </c>
      <c r="F70" s="235"/>
      <c r="G70" s="250">
        <f>SUM(G60:G69)</f>
        <v>1220305.56</v>
      </c>
    </row>
    <row r="71" spans="1:7" ht="16.5" customHeight="1">
      <c r="A71" s="244"/>
      <c r="B71" s="244"/>
      <c r="C71" s="244"/>
      <c r="D71" s="243">
        <f>SUM(D70,D59)</f>
        <v>25947397.22</v>
      </c>
      <c r="E71" s="225" t="s">
        <v>421</v>
      </c>
      <c r="F71" s="235"/>
      <c r="G71" s="243">
        <f>SUM(G70,G59)</f>
        <v>3500259.22</v>
      </c>
    </row>
    <row r="72" spans="1:7" ht="16.5" customHeight="1">
      <c r="A72" s="244"/>
      <c r="B72" s="244"/>
      <c r="C72" s="244"/>
      <c r="D72" s="248">
        <f>SUM(D29-D71)</f>
        <v>1563151.710000001</v>
      </c>
      <c r="E72" s="225" t="s">
        <v>422</v>
      </c>
      <c r="F72" s="235"/>
      <c r="G72" s="250">
        <f>SUM(G29-G71)</f>
        <v>718314.1999999997</v>
      </c>
    </row>
    <row r="73" spans="1:7" ht="16.5" customHeight="1" thickBot="1">
      <c r="A73" s="261"/>
      <c r="B73" s="244"/>
      <c r="C73" s="244"/>
      <c r="D73" s="262">
        <f>D8+D72</f>
        <v>34183188.620000005</v>
      </c>
      <c r="E73" s="223" t="s">
        <v>423</v>
      </c>
      <c r="F73" s="263"/>
      <c r="G73" s="262">
        <f>G8+G72</f>
        <v>34183188.620000005</v>
      </c>
    </row>
    <row r="74" spans="1:7" ht="16.5" customHeight="1" thickTop="1">
      <c r="A74" s="253"/>
      <c r="B74" s="253"/>
      <c r="C74" s="253"/>
      <c r="D74" s="254"/>
      <c r="E74" s="222"/>
      <c r="F74" s="255"/>
      <c r="G74" s="254"/>
    </row>
    <row r="75" spans="1:7" ht="16.5" customHeight="1">
      <c r="A75" s="253"/>
      <c r="B75" s="253"/>
      <c r="C75" s="253"/>
      <c r="D75" s="254"/>
      <c r="E75" s="222"/>
      <c r="F75" s="255"/>
      <c r="G75" s="254"/>
    </row>
    <row r="76" spans="1:7" ht="16.5" customHeight="1">
      <c r="A76" s="253"/>
      <c r="B76" s="253"/>
      <c r="C76" s="253"/>
      <c r="D76" s="254"/>
      <c r="E76" s="222"/>
      <c r="F76" s="255"/>
      <c r="G76" s="254"/>
    </row>
    <row r="77" spans="1:7" ht="16.5" customHeight="1">
      <c r="A77" s="253"/>
      <c r="B77" s="253"/>
      <c r="C77" s="253"/>
      <c r="D77" s="254"/>
      <c r="E77" s="222"/>
      <c r="F77" s="255"/>
      <c r="G77" s="254"/>
    </row>
    <row r="78" spans="1:7" ht="16.5" customHeight="1">
      <c r="A78" s="253"/>
      <c r="B78" s="253"/>
      <c r="C78" s="253"/>
      <c r="D78" s="254"/>
      <c r="E78" s="222"/>
      <c r="F78" s="255"/>
      <c r="G78" s="254"/>
    </row>
    <row r="79" spans="1:7" ht="16.5" customHeight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18" t="s">
        <v>12</v>
      </c>
      <c r="B85" s="218"/>
      <c r="C85" s="218"/>
      <c r="D85" s="264"/>
      <c r="E85" s="224"/>
      <c r="F85" s="224"/>
      <c r="G85" s="224"/>
    </row>
    <row r="86" spans="1:7" ht="16.5" customHeight="1">
      <c r="A86" s="265" t="s">
        <v>13</v>
      </c>
      <c r="B86" s="265"/>
      <c r="C86" s="265"/>
      <c r="D86" s="264"/>
      <c r="E86" s="224"/>
      <c r="F86" s="224"/>
      <c r="G86" s="266"/>
    </row>
    <row r="87" spans="1:7" ht="16.5" customHeight="1">
      <c r="A87" s="265"/>
      <c r="B87" s="265"/>
      <c r="C87" s="265"/>
      <c r="D87" s="264"/>
      <c r="E87" s="224"/>
      <c r="F87" s="224"/>
      <c r="G87" s="266"/>
    </row>
    <row r="88" spans="1:7" ht="16.5" customHeight="1">
      <c r="A88" s="265"/>
      <c r="B88" s="265"/>
      <c r="C88" s="265"/>
      <c r="D88" s="264"/>
      <c r="E88" s="224"/>
      <c r="F88" s="224"/>
      <c r="G88" s="266"/>
    </row>
    <row r="89" spans="1:7" ht="16.5" customHeight="1">
      <c r="A89" s="313" t="s">
        <v>16</v>
      </c>
      <c r="B89" s="313"/>
      <c r="C89" s="313"/>
      <c r="D89" s="313"/>
      <c r="E89" s="313"/>
      <c r="F89" s="313"/>
      <c r="G89" s="313"/>
    </row>
    <row r="90" spans="1:7" ht="16.5" customHeight="1">
      <c r="A90" s="313" t="s">
        <v>90</v>
      </c>
      <c r="B90" s="313"/>
      <c r="C90" s="313"/>
      <c r="D90" s="313"/>
      <c r="E90" s="313"/>
      <c r="F90" s="313"/>
      <c r="G90" s="313"/>
    </row>
    <row r="91" spans="1:7" ht="16.5" customHeight="1">
      <c r="A91" s="225"/>
      <c r="B91" s="225"/>
      <c r="C91" s="225"/>
      <c r="D91" s="225"/>
      <c r="E91" s="225"/>
      <c r="F91" s="225"/>
      <c r="G91" s="225"/>
    </row>
    <row r="92" spans="1:7" ht="16.5" customHeight="1">
      <c r="A92" s="313" t="s">
        <v>14</v>
      </c>
      <c r="B92" s="313"/>
      <c r="C92" s="313"/>
      <c r="D92" s="313"/>
      <c r="E92" s="313"/>
      <c r="F92" s="313"/>
      <c r="G92" s="313"/>
    </row>
    <row r="93" spans="1:7" ht="16.5" customHeight="1">
      <c r="A93" s="225"/>
      <c r="B93" s="225"/>
      <c r="C93" s="225"/>
      <c r="D93" s="225"/>
      <c r="E93" s="225"/>
      <c r="F93" s="225"/>
      <c r="G93" s="225"/>
    </row>
    <row r="94" spans="1:7" ht="16.5" customHeight="1">
      <c r="A94" s="225"/>
      <c r="B94" s="225"/>
      <c r="C94" s="225"/>
      <c r="D94" s="225"/>
      <c r="E94" s="225"/>
      <c r="F94" s="225"/>
      <c r="G94" s="225"/>
    </row>
    <row r="95" spans="1:7" ht="16.5" customHeight="1">
      <c r="A95" s="313" t="s">
        <v>125</v>
      </c>
      <c r="B95" s="313"/>
      <c r="C95" s="313"/>
      <c r="D95" s="313"/>
      <c r="E95" s="313"/>
      <c r="F95" s="313"/>
      <c r="G95" s="313"/>
    </row>
    <row r="96" spans="1:7" ht="16.5" customHeight="1">
      <c r="A96" s="313" t="s">
        <v>15</v>
      </c>
      <c r="B96" s="313"/>
      <c r="C96" s="313"/>
      <c r="D96" s="313"/>
      <c r="E96" s="313"/>
      <c r="F96" s="313"/>
      <c r="G96" s="313"/>
    </row>
    <row r="97" spans="1:7" ht="16.5" customHeight="1">
      <c r="A97" s="310">
        <v>240816</v>
      </c>
      <c r="B97" s="310"/>
      <c r="C97" s="310"/>
      <c r="D97" s="310"/>
      <c r="E97" s="310"/>
      <c r="F97" s="310"/>
      <c r="G97" s="310"/>
    </row>
    <row r="98" spans="1:7" ht="18" customHeight="1">
      <c r="A98" s="226"/>
      <c r="B98" s="226"/>
      <c r="C98" s="226"/>
      <c r="D98" s="226"/>
      <c r="E98" s="226"/>
      <c r="F98" s="226"/>
      <c r="G98" s="226"/>
    </row>
    <row r="99" spans="1:7" ht="18" customHeight="1">
      <c r="A99" s="226"/>
      <c r="B99" s="226"/>
      <c r="C99" s="226"/>
      <c r="D99" s="226"/>
      <c r="E99" s="226"/>
      <c r="F99" s="226"/>
      <c r="G99" s="226"/>
    </row>
    <row r="100" spans="1:7" ht="18" customHeight="1">
      <c r="A100" s="226"/>
      <c r="B100" s="226"/>
      <c r="C100" s="226"/>
      <c r="D100" s="226"/>
      <c r="E100" s="226"/>
      <c r="F100" s="226"/>
      <c r="G100" s="226"/>
    </row>
    <row r="101" spans="1:7" ht="18" customHeight="1">
      <c r="A101" s="226"/>
      <c r="B101" s="226"/>
      <c r="C101" s="226"/>
      <c r="D101" s="226"/>
      <c r="E101" s="226"/>
      <c r="F101" s="226"/>
      <c r="G101" s="226"/>
    </row>
    <row r="102" spans="1:7" ht="18" customHeight="1">
      <c r="A102" s="226"/>
      <c r="B102" s="226"/>
      <c r="C102" s="226"/>
      <c r="D102" s="226"/>
      <c r="E102" s="226"/>
      <c r="F102" s="226"/>
      <c r="G102" s="226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10" t="s">
        <v>64</v>
      </c>
      <c r="B127" s="310"/>
      <c r="C127" s="310"/>
      <c r="D127" s="310"/>
      <c r="E127" s="310"/>
      <c r="F127" s="310"/>
      <c r="G127" s="310"/>
    </row>
    <row r="128" spans="1:7" ht="19.5" customHeight="1">
      <c r="A128" s="312" t="s">
        <v>424</v>
      </c>
      <c r="B128" s="312"/>
      <c r="C128" s="312"/>
      <c r="D128" s="312"/>
      <c r="E128" s="312"/>
      <c r="F128" s="312"/>
      <c r="G128" s="312"/>
    </row>
    <row r="129" spans="1:7" ht="19.5" customHeight="1">
      <c r="A129" s="312" t="s">
        <v>542</v>
      </c>
      <c r="B129" s="312"/>
      <c r="C129" s="312"/>
      <c r="D129" s="312"/>
      <c r="E129" s="312"/>
      <c r="F129" s="312"/>
      <c r="G129" s="312"/>
    </row>
    <row r="130" spans="1:7" ht="19.5" customHeight="1">
      <c r="A130" s="311" t="s">
        <v>425</v>
      </c>
      <c r="B130" s="311"/>
      <c r="C130" s="311"/>
      <c r="D130" s="311"/>
      <c r="E130" s="311"/>
      <c r="F130" s="311"/>
      <c r="G130" s="311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70</v>
      </c>
    </row>
    <row r="132" spans="1:7" ht="19.5" customHeight="1">
      <c r="A132" s="309" t="s">
        <v>127</v>
      </c>
      <c r="B132" s="309"/>
      <c r="C132" s="309"/>
      <c r="D132" s="309"/>
      <c r="E132" s="227"/>
      <c r="F132" s="227"/>
      <c r="G132" s="223">
        <v>10409.06</v>
      </c>
    </row>
    <row r="133" spans="1:7" ht="19.5" customHeight="1">
      <c r="A133" s="309" t="s">
        <v>17</v>
      </c>
      <c r="B133" s="309"/>
      <c r="C133" s="228"/>
      <c r="D133" s="228"/>
      <c r="E133" s="227"/>
      <c r="F133" s="227"/>
      <c r="G133" s="223">
        <v>0</v>
      </c>
    </row>
    <row r="134" spans="1:7" ht="19.5" customHeight="1">
      <c r="A134" s="228" t="s">
        <v>362</v>
      </c>
      <c r="B134" s="228"/>
      <c r="C134" s="228"/>
      <c r="D134" s="228"/>
      <c r="E134" s="227"/>
      <c r="F134" s="227"/>
      <c r="G134" s="223">
        <v>983.15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1179.78</v>
      </c>
    </row>
    <row r="136" spans="1:7" ht="19.5" customHeight="1">
      <c r="A136" s="267" t="s">
        <v>386</v>
      </c>
      <c r="B136" s="267"/>
      <c r="C136" s="267"/>
      <c r="D136" s="218"/>
      <c r="E136" s="218"/>
      <c r="F136" s="264"/>
      <c r="G136" s="253">
        <v>6060</v>
      </c>
    </row>
    <row r="137" spans="1:7" ht="19.5" customHeight="1">
      <c r="A137" s="309" t="s">
        <v>399</v>
      </c>
      <c r="B137" s="309"/>
      <c r="C137" s="267"/>
      <c r="D137" s="218"/>
      <c r="E137" s="218"/>
      <c r="F137" s="264"/>
      <c r="G137" s="253">
        <v>2959</v>
      </c>
    </row>
    <row r="138" spans="1:7" ht="19.5" customHeight="1">
      <c r="A138" s="309" t="s">
        <v>76</v>
      </c>
      <c r="B138" s="309"/>
      <c r="C138" s="267"/>
      <c r="D138" s="218"/>
      <c r="E138" s="218"/>
      <c r="F138" s="264"/>
      <c r="G138" s="253">
        <v>405</v>
      </c>
    </row>
    <row r="139" spans="1:7" ht="19.5" customHeight="1">
      <c r="A139" s="309" t="s">
        <v>538</v>
      </c>
      <c r="B139" s="309"/>
      <c r="C139" s="309"/>
      <c r="D139" s="218"/>
      <c r="E139" s="218"/>
      <c r="F139" s="264"/>
      <c r="G139" s="253">
        <v>244323.5</v>
      </c>
    </row>
    <row r="140" spans="1:7" ht="19.5" customHeight="1" thickBot="1">
      <c r="A140" s="309"/>
      <c r="B140" s="309"/>
      <c r="C140" s="309"/>
      <c r="D140" s="218"/>
      <c r="E140" s="218"/>
      <c r="F140" s="264" t="s">
        <v>19</v>
      </c>
      <c r="G140" s="274">
        <f>SUM(G132:G139)</f>
        <v>266319.49</v>
      </c>
    </row>
    <row r="141" spans="1:7" ht="19.5" customHeight="1" thickTop="1">
      <c r="A141" s="309"/>
      <c r="B141" s="309"/>
      <c r="C141" s="309"/>
      <c r="D141" s="218"/>
      <c r="E141" s="218"/>
      <c r="F141" s="264"/>
      <c r="G141" s="253"/>
    </row>
    <row r="142" spans="1:7" ht="19.5" customHeight="1">
      <c r="A142" s="227"/>
      <c r="B142" s="227"/>
      <c r="C142" s="227"/>
      <c r="D142" s="227"/>
      <c r="E142" s="218"/>
      <c r="F142" s="264"/>
      <c r="G142" s="268"/>
    </row>
    <row r="143" spans="1:7" ht="19.5" customHeight="1">
      <c r="A143" s="310" t="s">
        <v>64</v>
      </c>
      <c r="B143" s="310"/>
      <c r="C143" s="310"/>
      <c r="D143" s="310"/>
      <c r="E143" s="310"/>
      <c r="F143" s="310"/>
      <c r="G143" s="310"/>
    </row>
    <row r="144" spans="1:7" ht="19.5" customHeight="1">
      <c r="A144" s="312" t="s">
        <v>424</v>
      </c>
      <c r="B144" s="312"/>
      <c r="C144" s="312"/>
      <c r="D144" s="312"/>
      <c r="E144" s="312"/>
      <c r="F144" s="312"/>
      <c r="G144" s="312"/>
    </row>
    <row r="145" spans="1:7" ht="19.5" customHeight="1">
      <c r="A145" s="312" t="s">
        <v>542</v>
      </c>
      <c r="B145" s="312"/>
      <c r="C145" s="312"/>
      <c r="D145" s="312"/>
      <c r="E145" s="312"/>
      <c r="F145" s="312"/>
      <c r="G145" s="312"/>
    </row>
    <row r="146" spans="1:7" ht="19.5" customHeight="1">
      <c r="A146" s="311" t="s">
        <v>426</v>
      </c>
      <c r="B146" s="311"/>
      <c r="C146" s="311"/>
      <c r="D146" s="311"/>
      <c r="E146" s="311"/>
      <c r="F146" s="311"/>
      <c r="G146" s="311"/>
    </row>
    <row r="147" spans="1:7" ht="19.5" customHeight="1">
      <c r="A147" s="269"/>
      <c r="B147" s="269"/>
      <c r="C147" s="269"/>
      <c r="D147" s="269"/>
      <c r="E147" s="269"/>
      <c r="F147" s="269"/>
      <c r="G147" s="227" t="s">
        <v>70</v>
      </c>
    </row>
    <row r="148" spans="1:7" ht="19.5" customHeight="1">
      <c r="A148" s="309" t="s">
        <v>127</v>
      </c>
      <c r="B148" s="309"/>
      <c r="C148" s="309"/>
      <c r="D148" s="309"/>
      <c r="E148" s="227"/>
      <c r="F148" s="227"/>
      <c r="G148" s="223">
        <v>10409.06</v>
      </c>
    </row>
    <row r="149" spans="1:7" ht="19.5" customHeight="1">
      <c r="A149" s="309" t="s">
        <v>547</v>
      </c>
      <c r="B149" s="309"/>
      <c r="C149" s="309"/>
      <c r="D149" s="228"/>
      <c r="E149" s="227"/>
      <c r="F149" s="227"/>
      <c r="G149" s="223">
        <v>7023</v>
      </c>
    </row>
    <row r="150" spans="1:7" ht="19.5" customHeight="1">
      <c r="A150" s="228" t="s">
        <v>386</v>
      </c>
      <c r="B150" s="228"/>
      <c r="C150" s="228"/>
      <c r="D150" s="228"/>
      <c r="E150" s="227"/>
      <c r="F150" s="227"/>
      <c r="G150" s="223">
        <v>6060</v>
      </c>
    </row>
    <row r="151" spans="1:7" ht="19.5" customHeight="1">
      <c r="A151" s="309" t="s">
        <v>538</v>
      </c>
      <c r="B151" s="309"/>
      <c r="C151" s="228"/>
      <c r="D151" s="228"/>
      <c r="E151" s="227"/>
      <c r="F151" s="227"/>
      <c r="G151" s="223">
        <v>244323.5</v>
      </c>
    </row>
    <row r="152" spans="1:7" ht="19.5" customHeight="1">
      <c r="A152" s="309" t="s">
        <v>399</v>
      </c>
      <c r="B152" s="309"/>
      <c r="C152" s="309"/>
      <c r="D152" s="309"/>
      <c r="E152" s="227"/>
      <c r="F152" s="227"/>
      <c r="G152" s="277">
        <v>0</v>
      </c>
    </row>
    <row r="153" spans="1:7" ht="19.5" customHeight="1" thickBot="1">
      <c r="A153" s="227"/>
      <c r="B153" s="227"/>
      <c r="C153" s="227"/>
      <c r="D153" s="227"/>
      <c r="E153" s="227"/>
      <c r="F153" s="227" t="s">
        <v>19</v>
      </c>
      <c r="G153" s="275">
        <f>SUM(G148:G152)</f>
        <v>267815.56</v>
      </c>
    </row>
    <row r="154" spans="1:7" ht="19.5" customHeight="1" thickTop="1">
      <c r="A154" s="314"/>
      <c r="B154" s="314"/>
      <c r="C154" s="314"/>
      <c r="D154" s="314"/>
      <c r="E154" s="314"/>
      <c r="F154" s="314"/>
      <c r="G154" s="314"/>
    </row>
    <row r="155" spans="1:7" ht="19.5" customHeight="1">
      <c r="A155" s="314"/>
      <c r="B155" s="314"/>
      <c r="C155" s="314"/>
      <c r="D155" s="314"/>
      <c r="E155" s="314"/>
      <c r="F155" s="314"/>
      <c r="G155" s="314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/>
      <c r="F159" s="227"/>
      <c r="G159" s="223"/>
    </row>
    <row r="160" spans="1:7" ht="19.5" customHeight="1">
      <c r="A160" s="228"/>
      <c r="B160" s="228"/>
      <c r="C160" s="228"/>
      <c r="D160" s="228"/>
      <c r="E160" s="227" t="s">
        <v>484</v>
      </c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8"/>
      <c r="E162" s="227"/>
      <c r="F162" s="227"/>
      <c r="G162" s="223"/>
    </row>
    <row r="163" spans="1:7" ht="19.5" customHeight="1">
      <c r="A163" s="228"/>
      <c r="B163" s="228"/>
      <c r="C163" s="228"/>
      <c r="D163" s="223"/>
      <c r="E163" s="223"/>
      <c r="F163" s="223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228"/>
      <c r="B165" s="228"/>
      <c r="C165" s="228"/>
      <c r="D165" s="228"/>
      <c r="E165" s="227"/>
      <c r="F165" s="227"/>
      <c r="G165" s="223"/>
    </row>
    <row r="166" spans="1:7" ht="19.5" customHeight="1">
      <c r="A166" s="228"/>
      <c r="B166" s="228"/>
      <c r="C166" s="228"/>
      <c r="D166" s="228"/>
      <c r="E166" s="227"/>
      <c r="F166" s="227"/>
      <c r="G166" s="223"/>
    </row>
    <row r="167" spans="1:7" ht="19.5" customHeight="1">
      <c r="A167" s="228"/>
      <c r="B167" s="228"/>
      <c r="C167" s="228"/>
      <c r="D167" s="228"/>
      <c r="E167" s="227"/>
      <c r="F167" s="227"/>
      <c r="G167" s="223"/>
    </row>
    <row r="168" spans="1:7" ht="19.5" customHeight="1">
      <c r="A168" s="310" t="s">
        <v>64</v>
      </c>
      <c r="B168" s="310"/>
      <c r="C168" s="310"/>
      <c r="D168" s="310"/>
      <c r="E168" s="310"/>
      <c r="F168" s="310"/>
      <c r="G168" s="310"/>
    </row>
    <row r="169" spans="1:7" ht="19.5" customHeight="1">
      <c r="A169" s="312" t="s">
        <v>424</v>
      </c>
      <c r="B169" s="312"/>
      <c r="C169" s="312"/>
      <c r="D169" s="312"/>
      <c r="E169" s="312"/>
      <c r="F169" s="312"/>
      <c r="G169" s="312"/>
    </row>
    <row r="170" spans="1:7" ht="19.5" customHeight="1">
      <c r="A170" s="312" t="s">
        <v>542</v>
      </c>
      <c r="B170" s="312"/>
      <c r="C170" s="312"/>
      <c r="D170" s="312"/>
      <c r="E170" s="312"/>
      <c r="F170" s="312"/>
      <c r="G170" s="312"/>
    </row>
    <row r="171" spans="1:7" ht="19.5" customHeight="1">
      <c r="A171" s="311" t="s">
        <v>409</v>
      </c>
      <c r="B171" s="311"/>
      <c r="C171" s="311"/>
      <c r="D171" s="311"/>
      <c r="E171" s="311"/>
      <c r="F171" s="311"/>
      <c r="G171" s="311"/>
    </row>
    <row r="172" spans="1:7" ht="19.5" customHeight="1">
      <c r="A172" s="269"/>
      <c r="B172" s="269"/>
      <c r="C172" s="269"/>
      <c r="D172" s="269"/>
      <c r="E172" s="269"/>
      <c r="F172" s="269"/>
      <c r="G172" s="227" t="s">
        <v>70</v>
      </c>
    </row>
    <row r="173" spans="1:7" ht="19.5" customHeight="1">
      <c r="A173" s="286" t="s">
        <v>522</v>
      </c>
      <c r="B173" s="286"/>
      <c r="C173" s="286"/>
      <c r="D173" s="286"/>
      <c r="E173" s="228"/>
      <c r="F173" s="228"/>
      <c r="G173" s="223">
        <v>0</v>
      </c>
    </row>
    <row r="174" spans="1:7" ht="19.5" customHeight="1">
      <c r="A174" s="309" t="s">
        <v>523</v>
      </c>
      <c r="B174" s="309"/>
      <c r="C174" s="309"/>
      <c r="D174" s="309"/>
      <c r="E174" s="228"/>
      <c r="F174" s="228"/>
      <c r="G174" s="223">
        <v>0</v>
      </c>
    </row>
    <row r="175" spans="1:7" ht="19.5" customHeight="1">
      <c r="A175" s="309" t="s">
        <v>524</v>
      </c>
      <c r="B175" s="309"/>
      <c r="C175" s="309"/>
      <c r="D175" s="309"/>
      <c r="E175" s="228"/>
      <c r="F175" s="228"/>
      <c r="G175" s="223">
        <v>0</v>
      </c>
    </row>
    <row r="176" spans="1:7" ht="19.5" customHeight="1">
      <c r="A176" s="286" t="s">
        <v>525</v>
      </c>
      <c r="B176" s="286"/>
      <c r="C176" s="286"/>
      <c r="D176" s="286"/>
      <c r="E176" s="228"/>
      <c r="F176" s="228"/>
      <c r="G176" s="223">
        <v>0</v>
      </c>
    </row>
    <row r="177" spans="1:7" ht="19.5" customHeight="1">
      <c r="A177" s="309" t="s">
        <v>526</v>
      </c>
      <c r="B177" s="309"/>
      <c r="C177" s="309"/>
      <c r="D177" s="309"/>
      <c r="E177" s="309"/>
      <c r="F177" s="227"/>
      <c r="G177" s="223">
        <v>0</v>
      </c>
    </row>
    <row r="178" spans="1:7" ht="19.5" customHeight="1">
      <c r="A178" s="228"/>
      <c r="B178" s="228"/>
      <c r="C178" s="228"/>
      <c r="D178" s="223"/>
      <c r="E178" s="223"/>
      <c r="F178" s="223"/>
      <c r="G178" s="223"/>
    </row>
    <row r="179" spans="1:7" ht="19.5" customHeight="1" thickBot="1">
      <c r="A179" s="228"/>
      <c r="B179" s="228"/>
      <c r="C179" s="228"/>
      <c r="D179" s="228"/>
      <c r="E179" s="228"/>
      <c r="F179" s="227" t="s">
        <v>19</v>
      </c>
      <c r="G179" s="276">
        <f>SUM(G173:G178)</f>
        <v>0</v>
      </c>
    </row>
    <row r="180" spans="1:7" ht="19.5" customHeight="1" thickTop="1">
      <c r="A180" s="309"/>
      <c r="B180" s="309"/>
      <c r="C180" s="309"/>
      <c r="D180" s="309"/>
      <c r="E180" s="309"/>
      <c r="F180" s="264"/>
      <c r="G180" s="253"/>
    </row>
    <row r="181" spans="1:7" ht="19.5" customHeight="1">
      <c r="A181" s="228"/>
      <c r="B181" s="228"/>
      <c r="C181" s="228"/>
      <c r="D181" s="228"/>
      <c r="E181" s="228"/>
      <c r="F181" s="264"/>
      <c r="G181" s="253"/>
    </row>
    <row r="182" spans="1:7" ht="19.5" customHeight="1">
      <c r="A182" s="228"/>
      <c r="B182" s="228"/>
      <c r="C182" s="228"/>
      <c r="D182" s="228"/>
      <c r="E182" s="228"/>
      <c r="F182" s="264"/>
      <c r="G182" s="253"/>
    </row>
    <row r="183" spans="1:7" ht="19.5" customHeight="1">
      <c r="A183" s="309"/>
      <c r="B183" s="309"/>
      <c r="C183" s="309"/>
      <c r="D183" s="309"/>
      <c r="E183" s="309"/>
      <c r="F183" s="264"/>
      <c r="G183" s="253"/>
    </row>
    <row r="184" spans="1:7" ht="19.5" customHeight="1">
      <c r="A184" s="228"/>
      <c r="B184" s="228"/>
      <c r="C184" s="228"/>
      <c r="D184" s="228"/>
      <c r="E184" s="228"/>
      <c r="F184" s="227"/>
      <c r="G184" s="285"/>
    </row>
    <row r="185" spans="1:7" ht="19.5" customHeight="1">
      <c r="A185" s="228"/>
      <c r="B185" s="228"/>
      <c r="C185" s="228"/>
      <c r="D185" s="228"/>
      <c r="E185" s="228"/>
      <c r="F185" s="264"/>
      <c r="G185" s="253"/>
    </row>
    <row r="186" spans="1:7" ht="19.5" customHeight="1">
      <c r="A186" s="227"/>
      <c r="B186" s="227"/>
      <c r="C186" s="227"/>
      <c r="D186" s="227"/>
      <c r="E186" s="227"/>
      <c r="F186" s="227"/>
      <c r="G186" s="285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29"/>
      <c r="B824" s="229"/>
      <c r="C824" s="229"/>
      <c r="F824" s="229"/>
      <c r="G824" s="229"/>
    </row>
    <row r="825" spans="1:7" ht="19.5" customHeight="1">
      <c r="A825" s="229"/>
      <c r="B825" s="229"/>
      <c r="C825" s="229"/>
      <c r="F825" s="229"/>
      <c r="G825" s="229"/>
    </row>
    <row r="826" spans="1:7" ht="19.5" customHeight="1">
      <c r="A826" s="229"/>
      <c r="B826" s="229"/>
      <c r="C826" s="229"/>
      <c r="F826" s="229"/>
      <c r="G826" s="229"/>
    </row>
    <row r="827" spans="1:7" ht="19.5" customHeight="1">
      <c r="A827" s="270"/>
      <c r="B827" s="270"/>
      <c r="C827" s="270"/>
      <c r="D827" s="270"/>
      <c r="G827" s="272"/>
    </row>
    <row r="828" spans="1:7" ht="19.5" customHeight="1">
      <c r="A828" s="270"/>
      <c r="B828" s="270"/>
      <c r="C828" s="270"/>
      <c r="D828" s="270"/>
      <c r="G828" s="272"/>
    </row>
    <row r="829" spans="1:7" ht="19.5" customHeight="1">
      <c r="A829" s="270"/>
      <c r="B829" s="270"/>
      <c r="C829" s="270"/>
      <c r="D829" s="270"/>
      <c r="G829" s="272"/>
    </row>
    <row r="830" spans="1:7" ht="19.5" customHeight="1">
      <c r="A830" s="270"/>
      <c r="B830" s="270"/>
      <c r="C830" s="270"/>
      <c r="D830" s="270"/>
      <c r="G830" s="272"/>
    </row>
    <row r="831" spans="1:7" ht="19.5" customHeight="1">
      <c r="A831" s="270"/>
      <c r="B831" s="270"/>
      <c r="C831" s="270"/>
      <c r="D831" s="270"/>
      <c r="G831" s="272"/>
    </row>
  </sheetData>
  <sheetProtection/>
  <mergeCells count="41">
    <mergeCell ref="A92:G92"/>
    <mergeCell ref="E1:G1"/>
    <mergeCell ref="A2:G2"/>
    <mergeCell ref="A3:G3"/>
    <mergeCell ref="A4:D4"/>
    <mergeCell ref="E4:E7"/>
    <mergeCell ref="A89:G89"/>
    <mergeCell ref="A90:G90"/>
    <mergeCell ref="A145:G145"/>
    <mergeCell ref="A132:D132"/>
    <mergeCell ref="A152:D152"/>
    <mergeCell ref="A143:G143"/>
    <mergeCell ref="A148:D148"/>
    <mergeCell ref="A96:G96"/>
    <mergeCell ref="A129:G129"/>
    <mergeCell ref="A138:B138"/>
    <mergeCell ref="A127:G127"/>
    <mergeCell ref="A95:G95"/>
    <mergeCell ref="A155:G155"/>
    <mergeCell ref="A130:G130"/>
    <mergeCell ref="A128:G128"/>
    <mergeCell ref="A154:G154"/>
    <mergeCell ref="A144:G144"/>
    <mergeCell ref="A97:G97"/>
    <mergeCell ref="A137:B137"/>
    <mergeCell ref="A183:E183"/>
    <mergeCell ref="A177:E177"/>
    <mergeCell ref="A175:D175"/>
    <mergeCell ref="A151:B151"/>
    <mergeCell ref="A139:C139"/>
    <mergeCell ref="A169:G169"/>
    <mergeCell ref="A170:G170"/>
    <mergeCell ref="A174:D174"/>
    <mergeCell ref="A133:B133"/>
    <mergeCell ref="A140:C140"/>
    <mergeCell ref="A141:C141"/>
    <mergeCell ref="A168:G168"/>
    <mergeCell ref="A180:E180"/>
    <mergeCell ref="A146:G146"/>
    <mergeCell ref="A171:G171"/>
    <mergeCell ref="A149:C14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19">
      <selection activeCell="A69" sqref="A69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64</v>
      </c>
      <c r="B1" s="322"/>
      <c r="C1" s="322"/>
      <c r="D1" s="322"/>
      <c r="E1" s="322"/>
      <c r="F1" s="322"/>
    </row>
    <row r="2" spans="1:6" ht="18.75">
      <c r="A2" s="322" t="s">
        <v>412</v>
      </c>
      <c r="B2" s="322"/>
      <c r="C2" s="322"/>
      <c r="D2" s="322"/>
      <c r="E2" s="322"/>
      <c r="F2" s="322"/>
    </row>
    <row r="3" spans="1:6" ht="18.75">
      <c r="A3" s="322" t="s">
        <v>542</v>
      </c>
      <c r="B3" s="322"/>
      <c r="C3" s="322"/>
      <c r="D3" s="322"/>
      <c r="E3" s="322"/>
      <c r="F3" s="322"/>
    </row>
    <row r="4" spans="1:6" ht="18.75">
      <c r="A4" s="330"/>
      <c r="B4" s="330"/>
      <c r="C4" s="330"/>
      <c r="D4" s="330"/>
      <c r="E4" s="330"/>
      <c r="F4" s="330"/>
    </row>
    <row r="5" spans="1:6" ht="18.75">
      <c r="A5" s="325" t="s">
        <v>11</v>
      </c>
      <c r="B5" s="326"/>
      <c r="C5" s="327"/>
      <c r="D5" s="327"/>
      <c r="E5" s="327"/>
      <c r="F5" s="328"/>
    </row>
    <row r="6" spans="1:6" ht="18.75">
      <c r="A6" s="324" t="s">
        <v>24</v>
      </c>
      <c r="B6" s="323" t="s">
        <v>3</v>
      </c>
      <c r="C6" s="323" t="s">
        <v>22</v>
      </c>
      <c r="D6" s="323" t="s">
        <v>413</v>
      </c>
      <c r="E6" s="323" t="s">
        <v>37</v>
      </c>
      <c r="F6" s="99" t="s">
        <v>136</v>
      </c>
    </row>
    <row r="7" spans="1:6" ht="18.75">
      <c r="A7" s="324"/>
      <c r="B7" s="323"/>
      <c r="C7" s="323"/>
      <c r="D7" s="323"/>
      <c r="E7" s="323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338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1580</v>
      </c>
      <c r="E10" s="49">
        <f>3851+10422+294281+1580</f>
        <v>310134</v>
      </c>
      <c r="F10" s="49">
        <f>E10-C10</f>
        <v>48434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17231.29</v>
      </c>
      <c r="E11" s="49">
        <f>112.14+13.35+19.58+15100.63+27914.85+25765.5+17231.29</f>
        <v>86157.34</v>
      </c>
      <c r="F11" s="49">
        <f>E11-C11</f>
        <v>-12842.660000000003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220</v>
      </c>
      <c r="E12" s="49">
        <f>400+9287+220</f>
        <v>9907</v>
      </c>
      <c r="F12" s="49">
        <f>E12-C12</f>
        <v>-2893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19031.29</v>
      </c>
      <c r="E13" s="103">
        <f>SUM(E10:E12)</f>
        <v>406198.33999999997</v>
      </c>
      <c r="F13" s="103">
        <f>SUM(F10:F12)</f>
        <v>32698.339999999997</v>
      </c>
    </row>
    <row r="14" spans="1:6" ht="19.5" thickTop="1">
      <c r="A14" s="117" t="s">
        <v>42</v>
      </c>
      <c r="B14" s="98" t="s">
        <v>339</v>
      </c>
      <c r="C14" s="49"/>
      <c r="D14" s="49"/>
      <c r="E14" s="49"/>
      <c r="F14" s="49"/>
    </row>
    <row r="15" spans="1:6" ht="18.75">
      <c r="A15" s="212" t="s">
        <v>382</v>
      </c>
      <c r="B15" s="9" t="s">
        <v>383</v>
      </c>
      <c r="C15" s="49">
        <v>1300</v>
      </c>
      <c r="D15" s="49">
        <v>38.8</v>
      </c>
      <c r="E15" s="49">
        <f>659.6+310.4+77.6+38.8</f>
        <v>1086.3999999999999</v>
      </c>
      <c r="F15" s="49">
        <f>E15-C15</f>
        <v>-213.60000000000014</v>
      </c>
    </row>
    <row r="16" spans="1:6" ht="18.75">
      <c r="A16" s="115" t="s">
        <v>43</v>
      </c>
      <c r="B16" s="101">
        <v>412106</v>
      </c>
      <c r="C16" s="49">
        <v>1800</v>
      </c>
      <c r="D16" s="49">
        <v>41</v>
      </c>
      <c r="E16" s="49">
        <f>186+170+162+96+22142+201+41</f>
        <v>22998</v>
      </c>
      <c r="F16" s="49">
        <f aca="true" t="shared" si="0" ref="F16:F24">E16-C16</f>
        <v>21198</v>
      </c>
    </row>
    <row r="17" spans="1:6" ht="18.75">
      <c r="A17" s="115" t="s">
        <v>345</v>
      </c>
      <c r="B17" s="101">
        <v>412111</v>
      </c>
      <c r="C17" s="49">
        <v>50</v>
      </c>
      <c r="D17" s="182">
        <v>10</v>
      </c>
      <c r="E17" s="49">
        <f>20+40+10</f>
        <v>70</v>
      </c>
      <c r="F17" s="49">
        <f t="shared" si="0"/>
        <v>20</v>
      </c>
    </row>
    <row r="18" spans="1:6" ht="18.75">
      <c r="A18" s="115" t="s">
        <v>78</v>
      </c>
      <c r="B18" s="101">
        <v>412128</v>
      </c>
      <c r="C18" s="49">
        <v>300</v>
      </c>
      <c r="D18" s="49">
        <v>0</v>
      </c>
      <c r="E18" s="49">
        <f>50+20+50</f>
        <v>120</v>
      </c>
      <c r="F18" s="49">
        <f t="shared" si="0"/>
        <v>-180</v>
      </c>
    </row>
    <row r="19" spans="1:6" ht="18.75">
      <c r="A19" s="115" t="s">
        <v>130</v>
      </c>
      <c r="B19" s="5" t="s">
        <v>346</v>
      </c>
      <c r="C19" s="49">
        <v>82500</v>
      </c>
      <c r="D19" s="49">
        <v>0</v>
      </c>
      <c r="E19" s="49">
        <f>4251</f>
        <v>4251</v>
      </c>
      <c r="F19" s="49">
        <f t="shared" si="0"/>
        <v>-78249</v>
      </c>
    </row>
    <row r="20" spans="1:6" ht="18.75">
      <c r="A20" s="115" t="s">
        <v>131</v>
      </c>
      <c r="B20" s="5" t="s">
        <v>347</v>
      </c>
      <c r="C20" s="49">
        <v>4000</v>
      </c>
      <c r="D20" s="182">
        <v>1000</v>
      </c>
      <c r="E20" s="49">
        <f>1000</f>
        <v>1000</v>
      </c>
      <c r="F20" s="49">
        <f t="shared" si="0"/>
        <v>-3000</v>
      </c>
    </row>
    <row r="21" spans="1:6" ht="18.75">
      <c r="A21" s="115" t="s">
        <v>348</v>
      </c>
      <c r="B21" s="5" t="s">
        <v>349</v>
      </c>
      <c r="C21" s="49">
        <v>60600</v>
      </c>
      <c r="D21" s="49">
        <v>440</v>
      </c>
      <c r="E21" s="49">
        <f>2800+5800+34100+440</f>
        <v>43140</v>
      </c>
      <c r="F21" s="49">
        <f t="shared" si="0"/>
        <v>-17460</v>
      </c>
    </row>
    <row r="22" spans="1:6" ht="18.75">
      <c r="A22" s="115" t="s">
        <v>132</v>
      </c>
      <c r="B22" s="5" t="s">
        <v>350</v>
      </c>
      <c r="C22" s="49">
        <v>21900</v>
      </c>
      <c r="D22" s="49">
        <v>2120</v>
      </c>
      <c r="E22" s="49">
        <f>3360+2170+2020+1920+2120+2120+2120</f>
        <v>15830</v>
      </c>
      <c r="F22" s="49">
        <f t="shared" si="0"/>
        <v>-6070</v>
      </c>
    </row>
    <row r="23" spans="1:6" ht="18.75">
      <c r="A23" s="115" t="s">
        <v>133</v>
      </c>
      <c r="B23" s="5" t="s">
        <v>351</v>
      </c>
      <c r="C23" s="49">
        <v>500</v>
      </c>
      <c r="D23" s="49">
        <v>20</v>
      </c>
      <c r="E23" s="49">
        <f>80+60+60+40+80+80+20</f>
        <v>420</v>
      </c>
      <c r="F23" s="49">
        <f t="shared" si="0"/>
        <v>-80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3669.8</v>
      </c>
      <c r="E24" s="103">
        <f>SUM(E15:E23)</f>
        <v>88915.4</v>
      </c>
      <c r="F24" s="103">
        <f t="shared" si="0"/>
        <v>-84034.6</v>
      </c>
    </row>
    <row r="25" spans="1:6" ht="19.5" thickTop="1">
      <c r="A25" s="118" t="s">
        <v>44</v>
      </c>
      <c r="B25" s="47" t="s">
        <v>340</v>
      </c>
      <c r="C25" s="49"/>
      <c r="D25" s="49"/>
      <c r="E25" s="49"/>
      <c r="F25" s="49"/>
    </row>
    <row r="26" spans="1:6" ht="18.75">
      <c r="A26" s="115" t="s">
        <v>45</v>
      </c>
      <c r="B26" s="5" t="s">
        <v>352</v>
      </c>
      <c r="C26" s="49">
        <v>200000</v>
      </c>
      <c r="D26" s="49">
        <v>5467.78</v>
      </c>
      <c r="E26" s="49">
        <f>5543.01+4002.89+50238.45+15920.24+3997.75+43495.89+5467.78</f>
        <v>128666.01</v>
      </c>
      <c r="F26" s="49">
        <f>E26-C26</f>
        <v>-71333.99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5467.78</v>
      </c>
      <c r="E27" s="103">
        <f>SUM(E25:E26)</f>
        <v>128666.01</v>
      </c>
      <c r="F27" s="103">
        <f>SUM(F26)</f>
        <v>-71333.99</v>
      </c>
    </row>
    <row r="28" spans="1:6" ht="19.5" thickTop="1">
      <c r="A28" s="118" t="s">
        <v>46</v>
      </c>
      <c r="B28" s="47" t="s">
        <v>341</v>
      </c>
      <c r="C28" s="49"/>
      <c r="D28" s="49"/>
      <c r="E28" s="49"/>
      <c r="F28" s="49"/>
    </row>
    <row r="29" spans="1:6" ht="18.75">
      <c r="A29" s="115" t="s">
        <v>47</v>
      </c>
      <c r="B29" s="5" t="s">
        <v>353</v>
      </c>
      <c r="C29" s="49">
        <v>50000</v>
      </c>
      <c r="D29" s="105">
        <v>0</v>
      </c>
      <c r="E29" s="49">
        <f>4500+1000+1000+400</f>
        <v>6900</v>
      </c>
      <c r="F29" s="49">
        <f>E29-C29</f>
        <v>-43100</v>
      </c>
    </row>
    <row r="30" spans="1:6" ht="18.75">
      <c r="A30" s="115" t="s">
        <v>79</v>
      </c>
      <c r="B30" s="5" t="s">
        <v>354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80</v>
      </c>
      <c r="B31" s="5" t="s">
        <v>355</v>
      </c>
      <c r="C31" s="49">
        <v>700</v>
      </c>
      <c r="D31" s="105">
        <v>0</v>
      </c>
      <c r="E31" s="49">
        <f>300+200</f>
        <v>500</v>
      </c>
      <c r="F31" s="49">
        <f>E31-C31</f>
        <v>-200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0</v>
      </c>
      <c r="E32" s="103">
        <f>SUM(E29:E31)</f>
        <v>7400</v>
      </c>
      <c r="F32" s="103">
        <f>SUM(F29:F31)</f>
        <v>-43400</v>
      </c>
    </row>
    <row r="33" spans="1:6" ht="19.5" thickTop="1">
      <c r="A33" s="114" t="s">
        <v>77</v>
      </c>
      <c r="B33" s="47" t="s">
        <v>342</v>
      </c>
      <c r="C33" s="49"/>
      <c r="D33" s="49"/>
      <c r="E33" s="49"/>
      <c r="F33" s="49"/>
    </row>
    <row r="34" spans="1:6" ht="18.75">
      <c r="A34" s="115" t="s">
        <v>81</v>
      </c>
      <c r="B34" s="5" t="s">
        <v>356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29"/>
      <c r="B36" s="329"/>
      <c r="C36" s="329"/>
      <c r="D36" s="329"/>
      <c r="E36" s="329"/>
      <c r="F36" s="329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31" t="s">
        <v>53</v>
      </c>
      <c r="B42" s="331"/>
      <c r="C42" s="331"/>
      <c r="D42" s="331"/>
      <c r="E42" s="331"/>
      <c r="F42" s="331"/>
    </row>
    <row r="43" spans="1:6" ht="18.75">
      <c r="A43" s="325" t="s">
        <v>11</v>
      </c>
      <c r="B43" s="326"/>
      <c r="C43" s="327"/>
      <c r="D43" s="327"/>
      <c r="E43" s="327"/>
      <c r="F43" s="328"/>
    </row>
    <row r="44" spans="1:6" ht="18.75">
      <c r="A44" s="324" t="s">
        <v>24</v>
      </c>
      <c r="B44" s="323" t="s">
        <v>3</v>
      </c>
      <c r="C44" s="323" t="s">
        <v>22</v>
      </c>
      <c r="D44" s="323" t="s">
        <v>413</v>
      </c>
      <c r="E44" s="323" t="s">
        <v>37</v>
      </c>
      <c r="F44" s="99" t="s">
        <v>136</v>
      </c>
    </row>
    <row r="45" spans="1:6" ht="18.75">
      <c r="A45" s="324"/>
      <c r="B45" s="323"/>
      <c r="C45" s="323"/>
      <c r="D45" s="323"/>
      <c r="E45" s="323"/>
      <c r="F45" s="99" t="s">
        <v>22</v>
      </c>
    </row>
    <row r="46" spans="1:6" ht="18.75">
      <c r="A46" s="120" t="s">
        <v>82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385</v>
      </c>
      <c r="B48" s="104">
        <v>421001</v>
      </c>
      <c r="C48" s="49">
        <v>354700</v>
      </c>
      <c r="D48" s="49">
        <v>69655.27</v>
      </c>
      <c r="E48" s="49">
        <f>98457.44+69655.27</f>
        <v>168112.71000000002</v>
      </c>
      <c r="F48" s="49">
        <f>E48-C48</f>
        <v>-186587.28999999998</v>
      </c>
    </row>
    <row r="49" spans="1:6" ht="18.75">
      <c r="A49" s="115" t="s">
        <v>384</v>
      </c>
      <c r="B49" s="101">
        <v>421002</v>
      </c>
      <c r="C49" s="49">
        <v>7296100</v>
      </c>
      <c r="D49" s="49">
        <v>647607.01</v>
      </c>
      <c r="E49" s="49">
        <f>625141.06+627754.13+636359.11+646579.19+714945.09+647607.01</f>
        <v>3898385.59</v>
      </c>
      <c r="F49" s="49">
        <f>E49-C49</f>
        <v>-3397714.41</v>
      </c>
    </row>
    <row r="50" spans="1:6" ht="18.75">
      <c r="A50" s="115" t="s">
        <v>83</v>
      </c>
      <c r="B50" s="101">
        <v>421004</v>
      </c>
      <c r="C50" s="49">
        <v>2899800</v>
      </c>
      <c r="D50" s="49">
        <v>0</v>
      </c>
      <c r="E50" s="49">
        <f>213214.03+246052.89+240434.46+239942+233669.41+263553.82</f>
        <v>1436866.61</v>
      </c>
      <c r="F50" s="49">
        <f aca="true" t="shared" si="1" ref="F50:F56">E50-C50</f>
        <v>-1462933.39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0</v>
      </c>
      <c r="E51" s="49">
        <f>23718.64+43948.92+23962.62</f>
        <v>91630.18</v>
      </c>
      <c r="F51" s="49">
        <f t="shared" si="1"/>
        <v>-33369.82000000001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0</v>
      </c>
      <c r="E52" s="49">
        <f>91128.26+103706.96+108409.87+132188.66+117873.9+128006.17</f>
        <v>681313.8200000001</v>
      </c>
      <c r="F52" s="49">
        <f t="shared" si="1"/>
        <v>-418686.17999999993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0</v>
      </c>
      <c r="E53" s="49">
        <f>196751.82+218532.97+203990.2+242247.73+283656.44+218443.51</f>
        <v>1363622.67</v>
      </c>
      <c r="F53" s="49">
        <f t="shared" si="1"/>
        <v>-436377.3300000001</v>
      </c>
    </row>
    <row r="54" spans="1:6" ht="18.75">
      <c r="A54" s="115" t="s">
        <v>84</v>
      </c>
      <c r="B54" s="101">
        <v>421012</v>
      </c>
      <c r="C54" s="49">
        <v>30000</v>
      </c>
      <c r="D54" s="182">
        <v>0</v>
      </c>
      <c r="E54" s="49">
        <f>13638.48</f>
        <v>13638.48</v>
      </c>
      <c r="F54" s="49">
        <f t="shared" si="1"/>
        <v>-16361.52</v>
      </c>
    </row>
    <row r="55" spans="1:6" ht="18.75">
      <c r="A55" s="115" t="s">
        <v>85</v>
      </c>
      <c r="B55" s="101">
        <v>421013</v>
      </c>
      <c r="C55" s="49">
        <v>70000</v>
      </c>
      <c r="D55" s="182">
        <v>0</v>
      </c>
      <c r="E55" s="49">
        <f>13583.96+13176.12</f>
        <v>26760.08</v>
      </c>
      <c r="F55" s="49">
        <f t="shared" si="1"/>
        <v>-43239.92</v>
      </c>
    </row>
    <row r="56" spans="1:6" ht="18.75">
      <c r="A56" s="115" t="s">
        <v>134</v>
      </c>
      <c r="B56" s="101">
        <v>421015</v>
      </c>
      <c r="C56" s="49">
        <v>250000</v>
      </c>
      <c r="D56" s="49">
        <v>48751</v>
      </c>
      <c r="E56" s="49">
        <f>30356+71341+9577+62281+200487+48751</f>
        <v>422793</v>
      </c>
      <c r="F56" s="49">
        <f t="shared" si="1"/>
        <v>172793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766013.28</v>
      </c>
      <c r="E57" s="103">
        <f>SUM(E48:E56)</f>
        <v>8103123.140000001</v>
      </c>
      <c r="F57" s="103">
        <f>SUM(F48:F56)</f>
        <v>-5822476.859999999</v>
      </c>
    </row>
    <row r="58" spans="1:6" ht="19.5" thickTop="1">
      <c r="A58" s="121" t="s">
        <v>86</v>
      </c>
      <c r="B58" s="109">
        <v>430000</v>
      </c>
      <c r="C58" s="105"/>
      <c r="D58" s="105"/>
      <c r="E58" s="105"/>
      <c r="F58" s="105"/>
    </row>
    <row r="59" spans="1:6" ht="18.75">
      <c r="A59" s="114" t="s">
        <v>337</v>
      </c>
      <c r="B59" s="109">
        <v>431000</v>
      </c>
      <c r="C59" s="49"/>
      <c r="D59" s="49"/>
      <c r="E59" s="49"/>
      <c r="F59" s="49"/>
    </row>
    <row r="60" spans="1:6" ht="18.75">
      <c r="A60" s="115" t="s">
        <v>87</v>
      </c>
      <c r="B60" s="101">
        <v>431002</v>
      </c>
      <c r="C60" s="49">
        <v>8451200</v>
      </c>
      <c r="D60" s="49">
        <v>953263</v>
      </c>
      <c r="E60" s="49">
        <f>2608471+2757832+953263</f>
        <v>6319566</v>
      </c>
      <c r="F60" s="49">
        <f>E60-C60</f>
        <v>-2131634</v>
      </c>
    </row>
    <row r="61" spans="1:6" ht="18.75">
      <c r="A61" s="115" t="s">
        <v>88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953263</v>
      </c>
      <c r="E62" s="103">
        <f>SUM(E60:E61)</f>
        <v>6319566</v>
      </c>
      <c r="F62" s="103">
        <f>SUM(F60:F61)</f>
        <v>-2131634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1747445.15</v>
      </c>
      <c r="E63" s="110">
        <f>SUM(E13,E24,E27,E32,E57,E62,E35)</f>
        <v>15054213.89</v>
      </c>
      <c r="F63" s="110">
        <f>E63-C63</f>
        <v>-8120336.109999999</v>
      </c>
    </row>
    <row r="64" spans="1:6" ht="18.75">
      <c r="A64" s="121" t="s">
        <v>414</v>
      </c>
      <c r="B64" s="109">
        <v>440000</v>
      </c>
      <c r="C64" s="105"/>
      <c r="D64" s="105"/>
      <c r="E64" s="105"/>
      <c r="F64" s="105"/>
    </row>
    <row r="65" spans="1:6" ht="18.75">
      <c r="A65" s="114" t="s">
        <v>420</v>
      </c>
      <c r="B65" s="109">
        <v>441000</v>
      </c>
      <c r="C65" s="49"/>
      <c r="D65" s="49"/>
      <c r="E65" s="49"/>
      <c r="F65" s="49"/>
    </row>
    <row r="66" spans="1:6" ht="18.75">
      <c r="A66" s="115" t="s">
        <v>497</v>
      </c>
      <c r="B66" s="101">
        <v>441001</v>
      </c>
      <c r="C66" s="49">
        <f>48570+32380+65900</f>
        <v>146850</v>
      </c>
      <c r="D66" s="49">
        <v>65900</v>
      </c>
      <c r="E66" s="49">
        <f>48570+32380+65900</f>
        <v>146850</v>
      </c>
      <c r="F66" s="49">
        <f>48570+32380+65900</f>
        <v>146850</v>
      </c>
    </row>
    <row r="67" spans="1:6" ht="18.75">
      <c r="A67" s="115" t="s">
        <v>500</v>
      </c>
      <c r="B67" s="101">
        <v>441001</v>
      </c>
      <c r="C67" s="49">
        <f>27000+18000+36000</f>
        <v>81000</v>
      </c>
      <c r="D67" s="49">
        <v>36000</v>
      </c>
      <c r="E67" s="49">
        <f>27000+18000+36000</f>
        <v>81000</v>
      </c>
      <c r="F67" s="49">
        <f>27000+18000+36000</f>
        <v>81000</v>
      </c>
    </row>
    <row r="68" spans="1:6" ht="18.75">
      <c r="A68" s="115" t="s">
        <v>499</v>
      </c>
      <c r="B68" s="101">
        <v>441001</v>
      </c>
      <c r="C68" s="49">
        <f>3000+2000+4000</f>
        <v>9000</v>
      </c>
      <c r="D68" s="49">
        <v>4000</v>
      </c>
      <c r="E68" s="49">
        <f>3000+2000+4000</f>
        <v>9000</v>
      </c>
      <c r="F68" s="49">
        <f>3000+2000+4000</f>
        <v>9000</v>
      </c>
    </row>
    <row r="69" spans="1:6" ht="18.75">
      <c r="A69" s="115" t="s">
        <v>498</v>
      </c>
      <c r="B69" s="101">
        <v>441001</v>
      </c>
      <c r="C69" s="49">
        <f>1500+1000+2000</f>
        <v>4500</v>
      </c>
      <c r="D69" s="49">
        <v>2000</v>
      </c>
      <c r="E69" s="49">
        <f>1500+1000+2000</f>
        <v>4500</v>
      </c>
      <c r="F69" s="49">
        <f>1500+1000+2000</f>
        <v>4500</v>
      </c>
    </row>
    <row r="70" spans="1:6" ht="18.75">
      <c r="A70" s="115" t="s">
        <v>501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502</v>
      </c>
      <c r="B71" s="101">
        <v>441001</v>
      </c>
      <c r="C71" s="49">
        <f>1868400+1245600+1214500</f>
        <v>4328500</v>
      </c>
      <c r="D71" s="49">
        <v>1214500</v>
      </c>
      <c r="E71" s="49">
        <f>1868400+1245600+1214500</f>
        <v>4328500</v>
      </c>
      <c r="F71" s="49">
        <f>1868400+1245600+1214500</f>
        <v>4328500</v>
      </c>
    </row>
    <row r="72" spans="1:6" ht="18.75">
      <c r="A72" s="115" t="s">
        <v>503</v>
      </c>
      <c r="B72" s="101">
        <v>441001</v>
      </c>
      <c r="C72" s="49">
        <f>468000+468000+156000</f>
        <v>1092000</v>
      </c>
      <c r="D72" s="49">
        <v>156000</v>
      </c>
      <c r="E72" s="49">
        <f>468000+468000+156000</f>
        <v>1092000</v>
      </c>
      <c r="F72" s="49">
        <f>468000+468000+156000</f>
        <v>1092000</v>
      </c>
    </row>
    <row r="73" spans="1:6" ht="18.75">
      <c r="A73" s="115"/>
      <c r="B73" s="101"/>
      <c r="C73" s="49"/>
      <c r="D73" s="49"/>
      <c r="E73" s="49"/>
      <c r="F73" s="49"/>
    </row>
    <row r="74" spans="1:6" ht="19.5" thickBot="1">
      <c r="A74" s="282" t="s">
        <v>19</v>
      </c>
      <c r="B74" s="101"/>
      <c r="C74" s="103">
        <f>SUM(C66:C73)</f>
        <v>5725550</v>
      </c>
      <c r="D74" s="103">
        <f>SUM(D66:D73)</f>
        <v>1478400</v>
      </c>
      <c r="E74" s="103">
        <f>SUM(E66:E72)</f>
        <v>5725550</v>
      </c>
      <c r="F74" s="103">
        <f>SUM(F66:F73)</f>
        <v>5725550</v>
      </c>
    </row>
    <row r="75" spans="1:6" ht="20.25" thickBot="1" thickTop="1">
      <c r="A75" s="116" t="s">
        <v>464</v>
      </c>
      <c r="B75" s="101"/>
      <c r="C75" s="103">
        <f>SUM(C63+C74)</f>
        <v>28900100</v>
      </c>
      <c r="D75" s="103">
        <f>SUM(D63+D74)</f>
        <v>3225845.15</v>
      </c>
      <c r="E75" s="103">
        <f>SUM(E63+E74)</f>
        <v>20779763.89</v>
      </c>
      <c r="F75" s="103">
        <f>SUM(F63+F74)</f>
        <v>-2394786.1099999994</v>
      </c>
    </row>
    <row r="76" spans="1:6" ht="19.5" thickTop="1">
      <c r="A76" s="116" t="s">
        <v>52</v>
      </c>
      <c r="B76" s="101"/>
      <c r="C76" s="110">
        <f>SUM(C75)</f>
        <v>28900100</v>
      </c>
      <c r="D76" s="110">
        <f>SUM(D75)</f>
        <v>3225845.15</v>
      </c>
      <c r="E76" s="110">
        <f>SUM(E75)</f>
        <v>20779763.89</v>
      </c>
      <c r="F76" s="110">
        <f>SUM(D76:E76)</f>
        <v>24005609.04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4">
      <selection activeCell="A12" sqref="A12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548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123</v>
      </c>
      <c r="B6" s="19">
        <f>3229025.36-3180.21</f>
        <v>3225845.15</v>
      </c>
      <c r="C6" s="19">
        <f>1183956.28+6387483.83+2955943.67+3619366.22+1434674.06+1972494.68+3229025.36-3180.21</f>
        <v>20779763.89</v>
      </c>
    </row>
    <row r="7" spans="1:3" ht="18" customHeight="1">
      <c r="A7" s="20" t="s">
        <v>60</v>
      </c>
      <c r="B7" s="19">
        <v>266319.49</v>
      </c>
      <c r="C7" s="19">
        <f>22540.91+277870.57+205869.41+17560.93+22674.49+412707.76+266319.49</f>
        <v>1225543.56</v>
      </c>
    </row>
    <row r="8" spans="1:3" ht="18" customHeight="1">
      <c r="A8" s="20" t="s">
        <v>387</v>
      </c>
      <c r="B8" s="19">
        <v>726408.78</v>
      </c>
      <c r="C8" s="19">
        <f>3381491.48</f>
        <v>3381491.48</v>
      </c>
    </row>
    <row r="9" spans="1:3" ht="18" customHeight="1">
      <c r="A9" s="20" t="s">
        <v>486</v>
      </c>
      <c r="B9" s="19">
        <v>0</v>
      </c>
      <c r="C9" s="19">
        <f>2114300</f>
        <v>2114300</v>
      </c>
    </row>
    <row r="10" spans="1:3" ht="18" customHeight="1">
      <c r="A10" s="20" t="s">
        <v>477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4218573.42</v>
      </c>
      <c r="C11" s="23">
        <f>SUM(C6:C10)</f>
        <v>27510548.93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388</v>
      </c>
      <c r="B13" s="15">
        <v>2279953.66</v>
      </c>
      <c r="C13" s="19">
        <f>15213361.82</f>
        <v>15213361.82</v>
      </c>
    </row>
    <row r="14" spans="1:3" ht="18" customHeight="1">
      <c r="A14" s="20" t="s">
        <v>389</v>
      </c>
      <c r="B14" s="15">
        <v>500</v>
      </c>
      <c r="C14" s="19">
        <f>3449450+500</f>
        <v>3449950</v>
      </c>
    </row>
    <row r="15" spans="1:3" ht="18" customHeight="1">
      <c r="A15" s="20" t="s">
        <v>61</v>
      </c>
      <c r="B15" s="19">
        <v>267815.56</v>
      </c>
      <c r="C15" s="19">
        <f>231482.61+22255.07+286867.84+28084.4+61655.14+279583.74+267815.56</f>
        <v>1177744.36</v>
      </c>
    </row>
    <row r="16" spans="1:3" ht="18" customHeight="1">
      <c r="A16" s="20" t="s">
        <v>527</v>
      </c>
      <c r="B16" s="19">
        <v>407100</v>
      </c>
      <c r="C16" s="19">
        <f>964000+448800+815000+764200+407100</f>
        <v>3399100</v>
      </c>
    </row>
    <row r="17" spans="1:3" ht="18" customHeight="1">
      <c r="A17" s="20" t="s">
        <v>124</v>
      </c>
      <c r="B17" s="19">
        <v>0</v>
      </c>
      <c r="C17" s="19">
        <f>399873.04+193068</f>
        <v>592941.04</v>
      </c>
    </row>
    <row r="18" spans="1:3" ht="18" customHeight="1">
      <c r="A18" s="20" t="s">
        <v>504</v>
      </c>
      <c r="B18" s="19">
        <v>544890</v>
      </c>
      <c r="C18" s="19">
        <f>1569410+544890</f>
        <v>2114300</v>
      </c>
    </row>
    <row r="19" spans="1:3" ht="18" customHeight="1" thickBot="1">
      <c r="A19" s="21" t="s">
        <v>19</v>
      </c>
      <c r="B19" s="23">
        <f>SUM(B13:B18)</f>
        <v>3500259.22</v>
      </c>
      <c r="C19" s="23">
        <f>SUM(C13:C18)</f>
        <v>25947397.22</v>
      </c>
    </row>
    <row r="20" spans="1:3" ht="18" customHeight="1" thickBot="1" thickTop="1">
      <c r="A20" s="21" t="s">
        <v>62</v>
      </c>
      <c r="B20" s="23">
        <f>B11-B19</f>
        <v>718314.1999999997</v>
      </c>
      <c r="C20" s="23">
        <f>C11-C19</f>
        <v>1563151.710000001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63</v>
      </c>
      <c r="B29" s="332"/>
      <c r="C29" s="332"/>
    </row>
    <row r="30" spans="1:3" ht="18" customHeight="1">
      <c r="A30" s="332" t="s">
        <v>91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125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240816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22">
      <selection activeCell="R27" sqref="R27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4" width="6.7109375" style="22" customWidth="1"/>
    <col min="5" max="5" width="6.28125" style="22" customWidth="1"/>
    <col min="6" max="6" width="11.8515625" style="22" customWidth="1"/>
    <col min="7" max="8" width="7.7109375" style="22" customWidth="1"/>
    <col min="9" max="9" width="8.421875" style="22" customWidth="1"/>
    <col min="10" max="10" width="19.710937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1.75" customHeight="1">
      <c r="A2" s="337" t="s">
        <v>64</v>
      </c>
      <c r="B2" s="337"/>
      <c r="C2" s="337"/>
      <c r="D2" s="337"/>
      <c r="E2" s="337"/>
      <c r="F2" s="337"/>
      <c r="G2" s="338" t="s">
        <v>528</v>
      </c>
      <c r="H2" s="339"/>
      <c r="I2" s="339"/>
      <c r="J2" s="339"/>
    </row>
    <row r="3" spans="1:10" ht="21.75" customHeight="1">
      <c r="A3" s="337" t="s">
        <v>66</v>
      </c>
      <c r="B3" s="337"/>
      <c r="C3" s="337"/>
      <c r="D3" s="337"/>
      <c r="E3" s="337"/>
      <c r="F3" s="337"/>
      <c r="G3" s="338" t="s">
        <v>529</v>
      </c>
      <c r="H3" s="339"/>
      <c r="I3" s="339"/>
      <c r="J3" s="339"/>
    </row>
    <row r="4" spans="1:10" ht="23.25">
      <c r="A4" s="52"/>
      <c r="B4" s="29"/>
      <c r="C4" s="52"/>
      <c r="D4" s="29"/>
      <c r="E4" s="29"/>
      <c r="F4" s="29"/>
      <c r="G4" s="342"/>
      <c r="H4" s="302"/>
      <c r="I4" s="302"/>
      <c r="J4" s="302"/>
    </row>
    <row r="5" spans="1:10" ht="23.25">
      <c r="A5" s="343" t="s">
        <v>549</v>
      </c>
      <c r="B5" s="343"/>
      <c r="C5" s="343"/>
      <c r="D5" s="343"/>
      <c r="E5" s="343"/>
      <c r="F5" s="344"/>
      <c r="G5" s="30"/>
      <c r="H5" s="30"/>
      <c r="I5" s="30"/>
      <c r="J5" s="31">
        <v>4486991.71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5" t="s">
        <v>533</v>
      </c>
      <c r="B7" s="345"/>
      <c r="C7" s="345"/>
      <c r="D7" s="345"/>
      <c r="E7" s="345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24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550</v>
      </c>
      <c r="B9" s="340" t="s">
        <v>573</v>
      </c>
      <c r="C9" s="340"/>
      <c r="D9" s="340"/>
      <c r="E9" s="340"/>
      <c r="F9" s="35">
        <v>265167.81</v>
      </c>
      <c r="G9" s="30"/>
      <c r="H9" s="30"/>
      <c r="I9" s="30"/>
      <c r="J9" s="31"/>
    </row>
    <row r="10" spans="1:10" ht="23.25">
      <c r="A10" s="55"/>
      <c r="B10" s="341" t="s">
        <v>551</v>
      </c>
      <c r="C10" s="341"/>
      <c r="D10" s="34"/>
      <c r="E10" s="34"/>
      <c r="F10" s="36">
        <v>177865.02</v>
      </c>
      <c r="G10" s="30"/>
      <c r="H10" s="30"/>
      <c r="I10" s="30"/>
      <c r="J10" s="37"/>
    </row>
    <row r="11" spans="1:11" ht="23.25">
      <c r="A11" s="55"/>
      <c r="B11" s="341" t="s">
        <v>552</v>
      </c>
      <c r="C11" s="341"/>
      <c r="D11" s="34"/>
      <c r="E11" s="34"/>
      <c r="F11" s="36">
        <v>273347.49</v>
      </c>
      <c r="G11" s="30"/>
      <c r="H11" s="30"/>
      <c r="I11" s="30"/>
      <c r="J11" s="37">
        <v>716380.32</v>
      </c>
      <c r="K11" s="290"/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291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6"/>
      <c r="B21" s="346"/>
      <c r="C21" s="346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 t="s">
        <v>254</v>
      </c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1" t="s">
        <v>553</v>
      </c>
      <c r="B25" s="341"/>
      <c r="C25" s="341"/>
      <c r="D25" s="341"/>
      <c r="E25" s="341"/>
      <c r="F25" s="347"/>
      <c r="G25" s="30"/>
      <c r="H25" s="30"/>
      <c r="I25" s="30"/>
      <c r="J25" s="31">
        <f>SUM(J5-J11)</f>
        <v>3770611.39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254</v>
      </c>
    </row>
    <row r="27" spans="1:10" ht="23.25">
      <c r="A27" s="56" t="s">
        <v>71</v>
      </c>
      <c r="B27" s="39"/>
      <c r="C27" s="56"/>
      <c r="D27" s="39"/>
      <c r="E27" s="39"/>
      <c r="F27" s="40"/>
      <c r="G27" s="348" t="s">
        <v>72</v>
      </c>
      <c r="H27" s="343"/>
      <c r="I27" s="343"/>
      <c r="J27" s="343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5" t="s">
        <v>564</v>
      </c>
      <c r="B29" s="335"/>
      <c r="C29" s="335"/>
      <c r="D29" s="335"/>
      <c r="E29" s="335"/>
      <c r="F29" s="336"/>
      <c r="G29" s="338" t="s">
        <v>554</v>
      </c>
      <c r="H29" s="339"/>
      <c r="I29" s="339"/>
      <c r="J29" s="339"/>
    </row>
    <row r="30" spans="1:10" ht="23.25">
      <c r="A30" s="339" t="s">
        <v>563</v>
      </c>
      <c r="B30" s="339"/>
      <c r="C30" s="339"/>
      <c r="D30" s="339"/>
      <c r="E30" s="32"/>
      <c r="F30" s="36"/>
      <c r="G30" s="338" t="s">
        <v>506</v>
      </c>
      <c r="H30" s="339"/>
      <c r="I30" s="339"/>
      <c r="J30" s="339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7">
    <mergeCell ref="G4:J4"/>
    <mergeCell ref="A5:F5"/>
    <mergeCell ref="A7:E7"/>
    <mergeCell ref="A21:C21"/>
    <mergeCell ref="A25:F25"/>
    <mergeCell ref="G27:J27"/>
    <mergeCell ref="B11:C11"/>
    <mergeCell ref="A29:F29"/>
    <mergeCell ref="A2:F2"/>
    <mergeCell ref="G2:J2"/>
    <mergeCell ref="G3:J3"/>
    <mergeCell ref="A30:D30"/>
    <mergeCell ref="G30:J30"/>
    <mergeCell ref="B9:E9"/>
    <mergeCell ref="G29:J29"/>
    <mergeCell ref="A3:F3"/>
    <mergeCell ref="B10:C1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2016-06-13T04:42:18Z</cp:lastPrinted>
  <dcterms:created xsi:type="dcterms:W3CDTF">1996-10-14T23:33:28Z</dcterms:created>
  <dcterms:modified xsi:type="dcterms:W3CDTF">2016-06-13T04:42:23Z</dcterms:modified>
  <cp:category/>
  <cp:version/>
  <cp:contentType/>
  <cp:contentStatus/>
</cp:coreProperties>
</file>