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9" activeTab="12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แบบใหม่" sheetId="8" r:id="rId8"/>
    <sheet name="กระทบยอดเงินฝากธ ธกส" sheetId="9" r:id="rId9"/>
    <sheet name="คงเหลือแบบใหม่" sheetId="10" r:id="rId10"/>
    <sheet name="โอนลดโอนเพิ่ม" sheetId="11" r:id="rId11"/>
    <sheet name="เงินสะสม" sheetId="12" r:id="rId12"/>
    <sheet name="จ่ายจากรายรับแบบใหม่" sheetId="13" r:id="rId13"/>
    <sheet name="จ่ายจากเงินอุดหนุนระบุวัตถุฯ" sheetId="14" r:id="rId14"/>
    <sheet name="Sheet2" sheetId="15" r:id="rId15"/>
  </sheets>
  <definedNames>
    <definedName name="_xlnm.Print_Area" localSheetId="0">'งบทดลอง'!$A$1:$D$129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<sst xmlns="http://schemas.openxmlformats.org/spreadsheetml/2006/main" count="1593" uniqueCount="574">
  <si>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</si>
  <si>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</si>
  <si>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</si>
  <si>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</si>
  <si>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</si>
  <si>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</si>
  <si>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</si>
  <si>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</si>
  <si>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</si>
  <si>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</si>
  <si>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</si>
  <si>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</si>
  <si>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</si>
  <si>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</si>
  <si>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</si>
  <si>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</si>
  <si>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</si>
  <si>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</si>
  <si>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</si>
  <si>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</si>
  <si>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</si>
  <si>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</si>
  <si>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</si>
  <si>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</si>
  <si>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</si>
  <si>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</si>
  <si>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</si>
  <si>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</si>
  <si>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</si>
  <si>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</si>
  <si>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</si>
  <si>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</si>
  <si>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</si>
  <si>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</si>
  <si>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</si>
  <si>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</si>
  <si>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</si>
  <si>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</si>
  <si>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</si>
  <si>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</si>
  <si>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</si>
  <si>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</si>
  <si>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</si>
  <si>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</si>
  <si>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</si>
  <si>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</si>
  <si>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</si>
  <si>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</si>
  <si>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</si>
  <si>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</si>
  <si>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</si>
  <si>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</si>
  <si>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</si>
  <si>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</si>
  <si>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</si>
  <si>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</si>
  <si>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</si>
  <si>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</si>
  <si>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</si>
  <si>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</si>
  <si>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</si>
  <si>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</si>
  <si>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</si>
  <si>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</si>
  <si>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</si>
  <si>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</si>
  <si>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</si>
  <si>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</si>
  <si>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</si>
  <si>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</si>
  <si>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</si>
  <si>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</si>
  <si>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</si>
  <si>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</si>
  <si>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</si>
  <si>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</si>
  <si>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</si>
  <si>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</si>
  <si>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</si>
  <si>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</si>
  <si>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</si>
  <si>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</si>
  <si>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</si>
  <si>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</si>
  <si>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</si>
  <si>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</si>
  <si>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</si>
  <si>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</si>
  <si>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</si>
  <si>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</si>
  <si>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</si>
  <si>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</si>
  <si>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</si>
  <si>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</si>
  <si>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</si>
  <si>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</si>
  <si>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</si>
  <si>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</si>
  <si>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</si>
  <si>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</si>
  <si>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</si>
  <si>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</si>
  <si>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</si>
  <si>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</si>
  <si>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</si>
  <si>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</si>
  <si>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</si>
  <si>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</si>
  <si>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</si>
  <si>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</si>
  <si>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</si>
  <si>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</si>
  <si>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</si>
  <si>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</si>
  <si>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</si>
  <si>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</si>
  <si>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</si>
  <si>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</si>
  <si>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</si>
  <si>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</si>
  <si>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</si>
  <si>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</si>
  <si>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</si>
  <si>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</si>
  <si>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</si>
  <si>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</si>
  <si>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</si>
  <si>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</si>
  <si>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</si>
  <si>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</si>
  <si>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</si>
  <si>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</si>
  <si>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</si>
  <si>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</si>
  <si>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</si>
  <si>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</si>
  <si>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</si>
  <si>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</si>
  <si>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</si>
  <si>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</si>
  <si>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</si>
  <si>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</si>
  <si>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</si>
  <si>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</si>
  <si>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</si>
  <si>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</si>
  <si>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</si>
  <si>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</si>
  <si>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</si>
  <si>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</si>
  <si>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</si>
  <si>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</si>
  <si>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</si>
  <si>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</si>
  <si>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</si>
  <si>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</si>
  <si>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</si>
  <si>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</si>
  <si>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</si>
  <si>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</si>
  <si>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</si>
  <si>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</si>
  <si>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</si>
  <si>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</si>
  <si>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</si>
  <si>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</si>
  <si>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</si>
  <si>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</si>
  <si>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</si>
  <si>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</si>
  <si>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</si>
  <si>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</si>
  <si>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</si>
  <si>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</si>
  <si>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</si>
  <si>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</si>
  <si>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</si>
  <si>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</si>
  <si>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</si>
  <si>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</si>
  <si>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</si>
  <si>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</si>
  <si>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</si>
  <si>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</si>
  <si>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</si>
  <si>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</si>
  <si>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</si>
  <si>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</si>
  <si>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</si>
  <si>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</si>
  <si>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</si>
  <si>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</si>
  <si>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</si>
  <si>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</si>
  <si>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</si>
  <si>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</si>
  <si>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</si>
  <si>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</si>
  <si>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</si>
  <si>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</si>
  <si>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</si>
  <si>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</si>
  <si>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</si>
  <si>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</si>
  <si>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</si>
  <si>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</si>
  <si>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</si>
  <si>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</si>
  <si>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</si>
  <si>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</si>
  <si>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</si>
  <si>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</si>
  <si>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</si>
  <si>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</si>
  <si>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</si>
  <si>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</si>
  <si>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</si>
  <si>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</si>
  <si>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</si>
  <si>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</si>
  <si>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</si>
  <si>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กลุ่มทำนา   ม.  2  บ้านละลม  </t>
  </si>
  <si>
    <t>กลุ่มเกษตรกรทำนาบ้านละลม  หมู่ 2</t>
  </si>
  <si>
    <t>กลุ่มเกษตรกรบ้านละลม  หมู่  4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</si>
  <si>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</si>
  <si>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</si>
  <si>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</si>
  <si>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</si>
  <si>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</si>
  <si>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</si>
  <si>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</si>
  <si>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</si>
  <si>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</si>
  <si>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</si>
  <si>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</si>
  <si>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</si>
  <si>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</si>
  <si>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</si>
  <si>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</si>
  <si>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</si>
  <si>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</si>
  <si>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</si>
  <si>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</si>
  <si>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</si>
  <si>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</si>
  <si>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</si>
  <si>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</si>
  <si>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</si>
  <si>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</si>
  <si>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</si>
  <si>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</si>
  <si>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</si>
  <si>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</si>
  <si>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</si>
  <si>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</si>
  <si>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</si>
  <si>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</si>
  <si>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</si>
  <si>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</si>
  <si>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</si>
  <si>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</si>
  <si>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</si>
  <si>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</si>
  <si>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</si>
  <si>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</si>
  <si>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</si>
  <si>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</si>
  <si>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</si>
  <si>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</si>
  <si>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</si>
  <si>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</si>
  <si>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</si>
  <si>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</si>
  <si>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</si>
  <si>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</si>
  <si>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</si>
  <si>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</si>
  <si>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</si>
  <si>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</si>
  <si>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</si>
  <si>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</si>
  <si>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</si>
  <si>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</si>
  <si>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</si>
  <si>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</si>
  <si>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</si>
  <si>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</si>
  <si>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</si>
  <si>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</si>
  <si>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</si>
  <si>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</si>
  <si>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</si>
  <si>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</si>
  <si>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</si>
  <si>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</si>
  <si>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</si>
  <si>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</si>
  <si>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</si>
  <si>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</si>
  <si>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</si>
  <si>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</si>
  <si>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</si>
  <si>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</si>
  <si>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</si>
  <si>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</si>
  <si>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</si>
  <si>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</si>
  <si>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</si>
  <si>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</si>
  <si>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</si>
  <si>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</si>
  <si>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</si>
  <si>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</si>
  <si>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</si>
  <si>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</si>
  <si>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</si>
  <si>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</si>
  <si>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</si>
  <si>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</si>
  <si>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</si>
  <si>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</si>
  <si>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</si>
  <si>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</si>
  <si>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</si>
  <si>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</si>
  <si>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</si>
  <si>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</si>
  <si>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</si>
  <si>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</si>
  <si>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</si>
  <si>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</si>
  <si>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</si>
  <si>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</si>
  <si>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</si>
  <si>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</si>
  <si>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</si>
  <si>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</si>
  <si>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</si>
  <si>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</si>
  <si>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</si>
  <si>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</si>
  <si>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</si>
  <si>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</si>
  <si>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</si>
  <si>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</si>
  <si>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</si>
  <si>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</si>
  <si>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</si>
  <si>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</si>
  <si>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</si>
  <si>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</si>
  <si>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</si>
  <si>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</si>
  <si>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</si>
  <si>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</si>
  <si>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</si>
  <si>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เงินฝากธนาคาร กรุงไทย จำกัด (มหาชน)สาขาโชคชัย(ออมทรัพย์) เลขที่ 344-0-48430-0</t>
  </si>
  <si>
    <t>400000</t>
  </si>
  <si>
    <t>320000</t>
  </si>
  <si>
    <t>บัญชีเงินทุนโครงการเศรษฐกิจชุมชน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</si>
  <si>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</si>
  <si>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</si>
  <si>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13/2557</t>
  </si>
  <si>
    <t>17/2557</t>
  </si>
  <si>
    <t>กลุ่มปลูกมันสำปะหลัง หมู่ 8</t>
  </si>
  <si>
    <t>กลุ่มเลี้ยงหมูบ้านคลองยาง ม. 9 (โกรกกัดลิ้น)</t>
  </si>
  <si>
    <t>3/2557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</si>
  <si>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</si>
  <si>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</si>
  <si>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</si>
  <si>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</si>
  <si>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</si>
  <si>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</si>
  <si>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</si>
  <si>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</si>
  <si>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</si>
  <si>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</si>
  <si>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</si>
  <si>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</si>
  <si>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</si>
  <si>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</si>
  <si>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</si>
  <si>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</si>
  <si>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</si>
  <si>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</si>
  <si>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</si>
  <si>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</si>
  <si>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</si>
  <si>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</si>
  <si>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</si>
  <si>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</si>
  <si>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</si>
  <si>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</si>
  <si>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.</t>
  </si>
  <si>
    <t>4/2558</t>
  </si>
  <si>
    <t/>
  </si>
  <si>
    <t>8/2558</t>
  </si>
  <si>
    <t>กลุ่มเกษตรกรปลูกผักเลี้ยงปลา ม. 11</t>
  </si>
  <si>
    <t>ค่ารักษาพยาบาล</t>
  </si>
  <si>
    <t xml:space="preserve">                                                        </t>
  </si>
  <si>
    <t>กลุ่มทำไร่มันสำประหลัง หมู่ 1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</si>
  <si>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</si>
  <si>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</si>
  <si>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</si>
  <si>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</si>
  <si>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กลุ่มเกษตรทำนา บ้านกุดจอกใหญ่ ม.7</t>
  </si>
  <si>
    <t>รายจ่ายตามงบประมาณ (จ่ายจากรายรับ)</t>
  </si>
  <si>
    <t>ลูกหนี้เงินยืม</t>
  </si>
  <si>
    <t>รายจ่ายค้างจ่าย (หมายเหตุ 4)</t>
  </si>
  <si>
    <t>รายละเอียด ประกอบงบทดลอง</t>
  </si>
  <si>
    <r>
      <rPr>
        <u val="single"/>
        <sz val="12"/>
        <rFont val="Angsana New"/>
        <family val="1"/>
      </rPr>
      <t>เงินรับฝาก</t>
    </r>
    <r>
      <rPr>
        <sz val="12"/>
        <rFont val="Angsana New"/>
        <family val="1"/>
      </rPr>
      <t xml:space="preserve"> (หมายเหตุ 1)</t>
    </r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</si>
  <si>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</si>
  <si>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</si>
  <si>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</si>
  <si>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เงินอุดหนุนระบุ</t>
  </si>
  <si>
    <t>วัตถุประสงค์/</t>
  </si>
  <si>
    <t>เฉพาะกิจ(บาท)</t>
  </si>
  <si>
    <t>เดือนนี้ที่เกิดขึ้น</t>
  </si>
  <si>
    <t>จริง</t>
  </si>
  <si>
    <t>หมวดเงินอุดหนุนทั่วไประบุวัตถุประสงค์/เฉพาะกิจ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</si>
  <si>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</si>
  <si>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</si>
  <si>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</si>
  <si>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</si>
  <si>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</si>
  <si>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</si>
  <si>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ลูกหนี้เงินทุนโครงการเศรษฐกิจชุมชน(หมายเหตุ 2)</t>
  </si>
  <si>
    <t>111201</t>
  </si>
  <si>
    <t>111202</t>
  </si>
  <si>
    <t>100000</t>
  </si>
  <si>
    <t>210000</t>
  </si>
  <si>
    <t>220000</t>
  </si>
  <si>
    <t>310000</t>
  </si>
  <si>
    <t>330000</t>
  </si>
  <si>
    <t>340000</t>
  </si>
  <si>
    <t>410000</t>
  </si>
  <si>
    <t>610000</t>
  </si>
  <si>
    <t>113100</t>
  </si>
  <si>
    <t>113302</t>
  </si>
  <si>
    <t>113500</t>
  </si>
  <si>
    <t>15/2558</t>
  </si>
  <si>
    <t>ลูกหนี้เงินทุนโครงการเศรษฐกิจชุมชน</t>
  </si>
  <si>
    <t>113700</t>
  </si>
  <si>
    <t>215000</t>
  </si>
  <si>
    <t>211000</t>
  </si>
  <si>
    <t xml:space="preserve">                                                                                                                                                                        </t>
  </si>
  <si>
    <t xml:space="preserve">    </t>
  </si>
  <si>
    <t>รายจ่ายค้างจ่าย</t>
  </si>
  <si>
    <t>ลูกหนี้เงินสะสม</t>
  </si>
  <si>
    <t>190004</t>
  </si>
  <si>
    <t>เจ้าหนี้เงินสะสม</t>
  </si>
  <si>
    <t>290001</t>
  </si>
  <si>
    <t>20/2558</t>
  </si>
  <si>
    <t>19/2558</t>
  </si>
  <si>
    <t>กลุ่มทำไร่มันสำประหลัง หมู่ 4</t>
  </si>
  <si>
    <t>กลุ่มเกษตรกรบ้านโคกพลวง ม.12</t>
  </si>
  <si>
    <t>29001</t>
  </si>
  <si>
    <t>รายได้จากรัฐบาลค้างรับ</t>
  </si>
  <si>
    <t>งบกลาง-เบี้ยยังชีพผู้สูงอายุ</t>
  </si>
  <si>
    <t>งบกลาง-เบี้ยยังชีพคนพิการ</t>
  </si>
  <si>
    <t>งบกลาง-เงินประกันสังคม</t>
  </si>
  <si>
    <t>เงินเดือนพนักงานฝ่ายประจำ(ศูนย์พัฒนาเด็กเล็ก)</t>
  </si>
  <si>
    <t>ค่าจ้างพนักงานจ้างฝ่ายประจำ(ศูนย์พัฒนาเด็กเล็ก)</t>
  </si>
  <si>
    <t>รวมรายรับและเงินอุดหนุนระบุวัตถุประสงค์/เฉพาะกิจ</t>
  </si>
  <si>
    <t>441000</t>
  </si>
  <si>
    <t>เงินเดือนพนักงานฝ่ายประจำ-ศูนย์พัฒนาเด็กเล็ก</t>
  </si>
  <si>
    <t>ค่าจ้างพนักงานจ้างฝ่ายประจำ-ศูนย์พัฒนาเด็กเล็ก</t>
  </si>
  <si>
    <t>00251</t>
  </si>
  <si>
    <t>ปีงบประมาณ  2559</t>
  </si>
  <si>
    <t>18/2558</t>
  </si>
  <si>
    <t>3/2559</t>
  </si>
  <si>
    <t>2/2559</t>
  </si>
  <si>
    <t>1/2559</t>
  </si>
  <si>
    <t>กลุ่มทำไร่อ้อย ม.4</t>
  </si>
  <si>
    <t>กลุ่มปลูกมันสำปะหลัง หมู่ 11</t>
  </si>
  <si>
    <t>17/2558</t>
  </si>
  <si>
    <t xml:space="preserve">           รับเงินรายได้จากรัฐบาลค้างรับ  </t>
  </si>
  <si>
    <t>410300</t>
  </si>
  <si>
    <t>110700</t>
  </si>
  <si>
    <t>1108/00</t>
  </si>
  <si>
    <t>รายจ่ายตามงบประมาณ (จ่ายจากเงินอุดหนุนระบุวัตถุประสงค์/เฉพาะกิจ)</t>
  </si>
  <si>
    <t>งบประมาณคงเหลือ</t>
  </si>
  <si>
    <t>113200</t>
  </si>
  <si>
    <t xml:space="preserve">  </t>
  </si>
  <si>
    <t xml:space="preserve">                                            </t>
  </si>
  <si>
    <t xml:space="preserve">          รับเงินเจ้าหนี้เงินสะสม</t>
  </si>
  <si>
    <t>เงินอุดหนุนทั่วไประบุวัตถุประสงค์-เงินเดือนข้าราชการครู ศพด.</t>
  </si>
  <si>
    <t>เงินอุดหนุนทั่วไประบุวัตถุประสงค์-ค่าตอบแทนพนักงานจ้าง ศพด.</t>
  </si>
  <si>
    <t>เงินอุดหนุนทั่วไประบุวัตถุประสงค์-เงินเพิ่มค่าครองชีพชั่วคราว</t>
  </si>
  <si>
    <t>เงินอุดหนุนทั่วไประบุวัตถุประสงค์-เงินประกันสังคม</t>
  </si>
  <si>
    <t>เงินอุดหนุนทั่วไประบุวัตถุประสงค์-ค่าจัดการเรียนการสอน ศพด.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</si>
  <si>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</si>
  <si>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</si>
  <si>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4/2559</t>
  </si>
  <si>
    <t>กลุ่มเลี้ยงหมูบ้านคลองยาง ม.9 (โกรกกัดลิ้น)</t>
  </si>
  <si>
    <t>กลุ่มทำหินทราย ม. 11</t>
  </si>
  <si>
    <t>1.เงินเดือนข้าราชการ ศพด.</t>
  </si>
  <si>
    <t>4.เงินประกันสังคม ศพด.</t>
  </si>
  <si>
    <t>3.เงินเพิ่มต่าครองชีพชั่วคราว ศพด.</t>
  </si>
  <si>
    <t>2.ค่าตอบแทนพนักงานจ้าง ศพด.</t>
  </si>
  <si>
    <t>5.ค่าจัดการเรียนการสอน ศพด.</t>
  </si>
  <si>
    <t>6.ค่าเบี้ยยังชีพผู้สูงอายุ</t>
  </si>
  <si>
    <t>7.ค่าเบี้ยยังชีพคนพิการ</t>
  </si>
  <si>
    <t xml:space="preserve">          จ่ายเงินเจ้าหนี้เงินสะสม</t>
  </si>
  <si>
    <t>121000</t>
  </si>
  <si>
    <t xml:space="preserve">          ผู้อำนวยการกองคลัง</t>
  </si>
  <si>
    <t>ค่าใช้สอย-ค่าจัดการเรียนการสอน ศพด.</t>
  </si>
  <si>
    <t>5/2559</t>
  </si>
  <si>
    <t>กลุ่มเกษตรกรปลูกอ้อย หมู่ 5 บ้านสระตะหมก</t>
  </si>
  <si>
    <t>6/2559</t>
  </si>
  <si>
    <t>กลุ่มทำขนมจีน บ้านหนองผักหวาน หมู่ 11</t>
  </si>
  <si>
    <t>7/2559</t>
  </si>
  <si>
    <t>กลุ่มทำหินทราย หมู่ 11</t>
  </si>
  <si>
    <t>8/2559</t>
  </si>
  <si>
    <t>กลุ่มทำเครื่องปั้นดินเผา หมู่ที่ 10 บ้านหนองชุมแสง</t>
  </si>
  <si>
    <t>9/2559</t>
  </si>
  <si>
    <t>กระยาสาทกลุ่มเกษตรกรบ้านละลม หมู่ 3</t>
  </si>
  <si>
    <t>16/2558</t>
  </si>
  <si>
    <t>10/2559</t>
  </si>
  <si>
    <t>กลุ่มเกษตรกรปลูกมันสำปะหลัง หมูที่ 2</t>
  </si>
  <si>
    <t>11/2559</t>
  </si>
  <si>
    <t>ค่าตอบแทนผู้ปฏิบติราชการอันเป็นประโยชน์แก่ อปท.โบนัส(สำนักปลัด)</t>
  </si>
  <si>
    <t>ค่าตอบแทนผู้ปฏิบติราชการอันเป็นประโยชน์แก่ อปท.โบนัส(กองคลัง)</t>
  </si>
  <si>
    <t>ค่าตอบแทนผู้ปฏิบติราชการอันเป็นประโยชน์แก่ อปท.โบนัส(กองช่าง)</t>
  </si>
  <si>
    <t>ค่าตอบแทนผู้ปฏิบติราชการอันเป็นประโยชน์แก่ อปท.โบนัส(ส่วนสาธารณสุข)</t>
  </si>
  <si>
    <t>ค่าตอบแทนผู้ปฏิบติราชการอันเป็นประโยชน์แก่ อปท.โบนัส(ส่วนการศึกษา)</t>
  </si>
  <si>
    <t xml:space="preserve">          จ่ายเงินสะสม</t>
  </si>
  <si>
    <t>เงินสด</t>
  </si>
  <si>
    <t>12/2559</t>
  </si>
  <si>
    <t>กลุ่มปลูกพืชฤดูแล้ง ม. 12 บ้านโคกพลวง</t>
  </si>
  <si>
    <t>13/2559</t>
  </si>
  <si>
    <t>29 ก.พ. 59</t>
  </si>
  <si>
    <t>14/2559</t>
  </si>
  <si>
    <t>กลุ่มไร่นาสวนผสม หมู่ 9</t>
  </si>
  <si>
    <t>ค่าใช้จ่ายอื่น</t>
  </si>
  <si>
    <t>ประกันสัญญา</t>
  </si>
  <si>
    <t xml:space="preserve">           นักวิชาการเงินและบัญชีปฏิบัติการ</t>
  </si>
  <si>
    <t xml:space="preserve">     นักวิชาการเงินและบัญชีปฏิบัติการ                                                                         ผู้อำนวยการกองคลัง</t>
  </si>
  <si>
    <t xml:space="preserve">  นักวิชาการเงินและบัญชีปฏิบัติการ</t>
  </si>
  <si>
    <t xml:space="preserve">    นักวิชาการเงินและบัญชีปฏิบัติการ                                                                      ผู้อำนวยการกองคลัง</t>
  </si>
  <si>
    <t xml:space="preserve">          นักวิชาการเงินและบัญชีปฏิบัติการ                                                  ผู้อำนวยการกองคลัง</t>
  </si>
  <si>
    <t>ณ  วันที่  31  พฤษภาคม 2559</t>
  </si>
  <si>
    <t>ค่าที่ดินและสิ่งก่อสร้าง-โครงการก่อสร้างลานกีฬาเอนกประสงค์ หมู่ 7</t>
  </si>
  <si>
    <t>เงินอุดหนุนทั่วไประบุวัตถุประสงค์-โครงการก่อสร้างลานกีฬาเอนกประสงค์ หมู่ 7</t>
  </si>
  <si>
    <t xml:space="preserve"> 31  พฤษภาคม  2559</t>
  </si>
  <si>
    <t>ณ วันที่  31  พฤษภาคม  2559</t>
  </si>
  <si>
    <t>หมายเหตุ 2  ประกอบงบทดลอง  ณ  วันที่    31  พฤษภาคม  2559</t>
  </si>
  <si>
    <t>หมายเหตุ 1  ประกอบงบทดลอง  ณ  วันที่    31  พฤษภาคม  2559</t>
  </si>
  <si>
    <t>หมายเหตุ 1  ประกอบงบทดลอง  ณ  วันที่    31  พฤษภาคม 2559</t>
  </si>
  <si>
    <t>8.โครงการก่อสร้างลานกีฬาเอนกประสงค์ หมู่ 7</t>
  </si>
  <si>
    <t xml:space="preserve">ประจำเดือน พฤษภาคม  2559 </t>
  </si>
  <si>
    <t>วันที่  1 พฤษภาคม  2559  ถึง   31  พฤษภาคม  2559</t>
  </si>
  <si>
    <t>ล</t>
  </si>
  <si>
    <t xml:space="preserve">                      </t>
  </si>
  <si>
    <t>เดือน   พฤษภาคม  2559</t>
  </si>
  <si>
    <t>เดือน  พฤษภาคม  2559</t>
  </si>
  <si>
    <t>ค่าใช้สอย-ค่าสื่อการเรียนการสอน ศพด.</t>
  </si>
  <si>
    <t>ค่าที่ดินและสิ่งก่อสร้าง-โครงการซ่อมสร้างผิวจราจรแอสฟัลท์ติกคอนกรีต</t>
  </si>
  <si>
    <t>หมู่ 10</t>
  </si>
  <si>
    <t>ค่าทีดินและสิ่งก่อสร้าง-โครงการก่อสร้างระบบประปาหมู่บ้าน แบบผิวดิน</t>
  </si>
  <si>
    <t>ขนาดใหญ่ หมู่ 5</t>
  </si>
  <si>
    <t>9.โครงการซ่อมสร้างผิวจราจรแอสฟัลท์ติกคอนกรีต หมู่ 10</t>
  </si>
  <si>
    <t>10.โครงการก่อสร้ารงระบบประปาหมู่บ้าน แบบผิวดินขนาดใหญ่</t>
  </si>
  <si>
    <t>หมู่ 5</t>
  </si>
  <si>
    <t>ยอดเงินคงเหลือตามรายงานธนาคาร ณวันที่ 31  พฤษภาคม 2559</t>
  </si>
  <si>
    <t>26 พ.ค. 59</t>
  </si>
  <si>
    <t>16014465</t>
  </si>
  <si>
    <t>16014467</t>
  </si>
  <si>
    <t>31 พ.ค.59</t>
  </si>
  <si>
    <t>16014468</t>
  </si>
  <si>
    <t>16014469</t>
  </si>
  <si>
    <t>ยอดเงินคงเหลือตามบัญชี  ณ  วันที่  31  พฤษภาคม  2559</t>
  </si>
  <si>
    <t>(ลงชื่อ)........................................................วันที่ 31  พฤษภาคม  2559</t>
  </si>
  <si>
    <t>(ลงชื่อ).................................วันที่  31  พฤษภาคม  2559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</si>
</sst>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8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u val="single"/>
      <sz val="12"/>
      <name val="Angsana New"/>
      <family val="1"/>
    </font>
    <font>
      <sz val="11"/>
      <name val="Angsana New"/>
      <family val="1"/>
    </font>
    <font>
      <u val="single"/>
      <sz val="11"/>
      <name val="Angsana New"/>
      <family val="1"/>
    </font>
    <font>
      <sz val="11"/>
      <name val="TH SarabunPSK"/>
      <family val="2"/>
    </font>
    <font>
      <sz val="11"/>
      <color indexed="10"/>
      <name val="Angsana New"/>
      <family val="1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9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0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1" xfId="33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1" xfId="33" applyFont="1" applyBorder="1" applyAlignment="1">
      <alignment horizontal="right"/>
    </xf>
    <xf numFmtId="194" fontId="7" fillId="0" borderId="20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43" fontId="11" fillId="0" borderId="23" xfId="0" applyNumberFormat="1" applyFont="1" applyBorder="1" applyAlignment="1">
      <alignment/>
    </xf>
    <xf numFmtId="43" fontId="11" fillId="0" borderId="24" xfId="0" applyNumberFormat="1" applyFont="1" applyBorder="1" applyAlignment="1">
      <alignment/>
    </xf>
    <xf numFmtId="43" fontId="11" fillId="0" borderId="25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43" fontId="11" fillId="0" borderId="28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31" xfId="0" applyNumberFormat="1" applyFont="1" applyBorder="1" applyAlignment="1">
      <alignment/>
    </xf>
    <xf numFmtId="43" fontId="11" fillId="0" borderId="32" xfId="0" applyNumberFormat="1" applyFont="1" applyBorder="1" applyAlignment="1">
      <alignment/>
    </xf>
    <xf numFmtId="43" fontId="11" fillId="0" borderId="3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11" fillId="0" borderId="34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left"/>
    </xf>
    <xf numFmtId="194" fontId="4" fillId="0" borderId="16" xfId="33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94" fontId="4" fillId="0" borderId="16" xfId="33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194" fontId="4" fillId="0" borderId="11" xfId="33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 quotePrefix="1">
      <alignment horizontal="center"/>
    </xf>
    <xf numFmtId="194" fontId="4" fillId="34" borderId="20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5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3" fontId="17" fillId="0" borderId="10" xfId="0" applyNumberFormat="1" applyFont="1" applyBorder="1" applyAlignment="1">
      <alignment/>
    </xf>
    <xf numFmtId="1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194" fontId="17" fillId="0" borderId="23" xfId="33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/>
    </xf>
    <xf numFmtId="194" fontId="17" fillId="0" borderId="24" xfId="33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/>
    </xf>
    <xf numFmtId="194" fontId="17" fillId="0" borderId="34" xfId="33" applyFont="1" applyBorder="1" applyAlignment="1">
      <alignment/>
    </xf>
    <xf numFmtId="194" fontId="8" fillId="0" borderId="13" xfId="33" applyFont="1" applyBorder="1" applyAlignment="1">
      <alignment/>
    </xf>
    <xf numFmtId="0" fontId="17" fillId="0" borderId="13" xfId="0" applyFont="1" applyBorder="1" applyAlignment="1">
      <alignment/>
    </xf>
    <xf numFmtId="4" fontId="11" fillId="0" borderId="35" xfId="0" applyNumberFormat="1" applyFont="1" applyBorder="1" applyAlignment="1">
      <alignment/>
    </xf>
    <xf numFmtId="238" fontId="11" fillId="0" borderId="2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94" fontId="15" fillId="0" borderId="0" xfId="33" applyFont="1" applyBorder="1" applyAlignment="1">
      <alignment/>
    </xf>
    <xf numFmtId="194" fontId="15" fillId="0" borderId="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1" xfId="33" applyNumberFormat="1" applyFont="1" applyBorder="1" applyAlignment="1">
      <alignment horizontal="right"/>
    </xf>
    <xf numFmtId="4" fontId="4" fillId="0" borderId="11" xfId="33" applyNumberFormat="1" applyFont="1" applyBorder="1" applyAlignment="1">
      <alignment horizontal="right"/>
    </xf>
    <xf numFmtId="43" fontId="11" fillId="0" borderId="36" xfId="0" applyNumberFormat="1" applyFont="1" applyBorder="1" applyAlignment="1">
      <alignment/>
    </xf>
    <xf numFmtId="43" fontId="11" fillId="0" borderId="35" xfId="0" applyNumberFormat="1" applyFont="1" applyBorder="1" applyAlignment="1">
      <alignment/>
    </xf>
    <xf numFmtId="49" fontId="11" fillId="0" borderId="37" xfId="0" applyNumberFormat="1" applyFont="1" applyBorder="1" applyAlignment="1">
      <alignment horizontal="left"/>
    </xf>
    <xf numFmtId="194" fontId="11" fillId="0" borderId="27" xfId="0" applyNumberFormat="1" applyFont="1" applyBorder="1" applyAlignment="1">
      <alignment/>
    </xf>
    <xf numFmtId="194" fontId="11" fillId="0" borderId="29" xfId="0" applyNumberFormat="1" applyFont="1" applyBorder="1" applyAlignment="1">
      <alignment/>
    </xf>
    <xf numFmtId="49" fontId="11" fillId="0" borderId="38" xfId="0" applyNumberFormat="1" applyFont="1" applyBorder="1" applyAlignment="1">
      <alignment horizontal="left"/>
    </xf>
    <xf numFmtId="49" fontId="11" fillId="0" borderId="39" xfId="0" applyNumberFormat="1" applyFont="1" applyBorder="1" applyAlignment="1">
      <alignment horizontal="left"/>
    </xf>
    <xf numFmtId="4" fontId="11" fillId="0" borderId="12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3" fontId="11" fillId="0" borderId="40" xfId="0" applyNumberFormat="1" applyFont="1" applyBorder="1" applyAlignment="1">
      <alignment/>
    </xf>
    <xf numFmtId="4" fontId="11" fillId="0" borderId="40" xfId="0" applyNumberFormat="1" applyFont="1" applyBorder="1" applyAlignment="1">
      <alignment/>
    </xf>
    <xf numFmtId="238" fontId="11" fillId="0" borderId="13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194" fontId="11" fillId="0" borderId="11" xfId="33" applyFont="1" applyBorder="1" applyAlignment="1">
      <alignment/>
    </xf>
    <xf numFmtId="194" fontId="11" fillId="0" borderId="13" xfId="33" applyFont="1" applyBorder="1" applyAlignment="1">
      <alignment/>
    </xf>
    <xf numFmtId="194" fontId="11" fillId="0" borderId="10" xfId="33" applyFont="1" applyBorder="1" applyAlignment="1">
      <alignment/>
    </xf>
    <xf numFmtId="15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36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43" fontId="11" fillId="0" borderId="11" xfId="33" applyNumberFormat="1" applyFont="1" applyBorder="1" applyAlignment="1">
      <alignment/>
    </xf>
    <xf numFmtId="49" fontId="11" fillId="0" borderId="41" xfId="0" applyNumberFormat="1" applyFont="1" applyBorder="1" applyAlignment="1">
      <alignment horizontal="center"/>
    </xf>
    <xf numFmtId="43" fontId="11" fillId="0" borderId="31" xfId="0" applyNumberFormat="1" applyFont="1" applyBorder="1" applyAlignment="1" quotePrefix="1">
      <alignment/>
    </xf>
    <xf numFmtId="43" fontId="11" fillId="0" borderId="24" xfId="0" applyNumberFormat="1" applyFont="1" applyBorder="1" applyAlignment="1" quotePrefix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194" fontId="19" fillId="0" borderId="0" xfId="33" applyFont="1" applyAlignment="1">
      <alignment horizontal="right"/>
    </xf>
    <xf numFmtId="194" fontId="19" fillId="0" borderId="0" xfId="33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center"/>
    </xf>
    <xf numFmtId="194" fontId="19" fillId="0" borderId="0" xfId="33" applyFont="1" applyAlignment="1">
      <alignment horizontal="left"/>
    </xf>
    <xf numFmtId="0" fontId="21" fillId="0" borderId="0" xfId="0" applyFont="1" applyAlignment="1">
      <alignment/>
    </xf>
    <xf numFmtId="194" fontId="12" fillId="0" borderId="0" xfId="33" applyFont="1" applyAlignment="1">
      <alignment/>
    </xf>
    <xf numFmtId="49" fontId="19" fillId="0" borderId="12" xfId="0" applyNumberFormat="1" applyFont="1" applyBorder="1" applyAlignment="1">
      <alignment horizontal="center"/>
    </xf>
    <xf numFmtId="194" fontId="19" fillId="0" borderId="12" xfId="33" applyFont="1" applyBorder="1" applyAlignment="1">
      <alignment horizontal="center"/>
    </xf>
    <xf numFmtId="194" fontId="19" fillId="0" borderId="18" xfId="33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center"/>
    </xf>
    <xf numFmtId="194" fontId="19" fillId="0" borderId="16" xfId="33" applyFont="1" applyBorder="1" applyAlignment="1">
      <alignment horizontal="left"/>
    </xf>
    <xf numFmtId="194" fontId="19" fillId="0" borderId="16" xfId="33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94" fontId="19" fillId="0" borderId="35" xfId="33" applyFont="1" applyBorder="1" applyAlignment="1">
      <alignment horizontal="center"/>
    </xf>
    <xf numFmtId="194" fontId="19" fillId="0" borderId="17" xfId="33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94" fontId="19" fillId="0" borderId="12" xfId="33" applyFont="1" applyBorder="1" applyAlignment="1">
      <alignment/>
    </xf>
    <xf numFmtId="194" fontId="19" fillId="0" borderId="11" xfId="33" applyFont="1" applyBorder="1" applyAlignment="1">
      <alignment/>
    </xf>
    <xf numFmtId="194" fontId="19" fillId="0" borderId="11" xfId="0" applyNumberFormat="1" applyFont="1" applyBorder="1" applyAlignment="1">
      <alignment/>
    </xf>
    <xf numFmtId="194" fontId="19" fillId="0" borderId="35" xfId="0" applyNumberFormat="1" applyFont="1" applyBorder="1" applyAlignment="1">
      <alignment/>
    </xf>
    <xf numFmtId="194" fontId="19" fillId="0" borderId="16" xfId="0" applyNumberFormat="1" applyFont="1" applyBorder="1" applyAlignment="1">
      <alignment/>
    </xf>
    <xf numFmtId="194" fontId="19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94" fontId="19" fillId="0" borderId="10" xfId="33" applyFont="1" applyBorder="1" applyAlignment="1">
      <alignment/>
    </xf>
    <xf numFmtId="194" fontId="12" fillId="0" borderId="11" xfId="0" applyNumberFormat="1" applyFont="1" applyBorder="1" applyAlignment="1">
      <alignment/>
    </xf>
    <xf numFmtId="194" fontId="22" fillId="0" borderId="11" xfId="33" applyFont="1" applyBorder="1" applyAlignment="1">
      <alignment/>
    </xf>
    <xf numFmtId="194" fontId="19" fillId="0" borderId="0" xfId="33" applyFont="1" applyBorder="1" applyAlignment="1">
      <alignment/>
    </xf>
    <xf numFmtId="194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94" fontId="19" fillId="0" borderId="12" xfId="0" applyNumberFormat="1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right"/>
    </xf>
    <xf numFmtId="194" fontId="19" fillId="0" borderId="10" xfId="0" applyNumberFormat="1" applyFont="1" applyBorder="1" applyAlignment="1">
      <alignment horizontal="center"/>
    </xf>
    <xf numFmtId="194" fontId="19" fillId="0" borderId="35" xfId="33" applyFont="1" applyBorder="1" applyAlignment="1">
      <alignment/>
    </xf>
    <xf numFmtId="194" fontId="19" fillId="0" borderId="13" xfId="0" applyNumberFormat="1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indent="3"/>
    </xf>
    <xf numFmtId="43" fontId="19" fillId="0" borderId="0" xfId="0" applyNumberFormat="1" applyFont="1" applyAlignment="1">
      <alignment/>
    </xf>
    <xf numFmtId="194" fontId="19" fillId="0" borderId="0" xfId="33" applyFont="1" applyAlignment="1">
      <alignment/>
    </xf>
    <xf numFmtId="207" fontId="12" fillId="0" borderId="0" xfId="33" applyNumberFormat="1" applyFont="1" applyAlignment="1">
      <alignment/>
    </xf>
    <xf numFmtId="194" fontId="12" fillId="0" borderId="0" xfId="33" applyFont="1" applyAlignment="1">
      <alignment horizontal="left"/>
    </xf>
    <xf numFmtId="194" fontId="21" fillId="0" borderId="0" xfId="33" applyFont="1" applyAlignment="1">
      <alignment horizontal="center"/>
    </xf>
    <xf numFmtId="49" fontId="21" fillId="0" borderId="0" xfId="0" applyNumberFormat="1" applyFont="1" applyAlignment="1">
      <alignment horizontal="center"/>
    </xf>
    <xf numFmtId="194" fontId="23" fillId="0" borderId="0" xfId="33" applyFont="1" applyAlignment="1">
      <alignment/>
    </xf>
    <xf numFmtId="194" fontId="21" fillId="0" borderId="0" xfId="33" applyFont="1" applyAlignment="1">
      <alignment/>
    </xf>
    <xf numFmtId="207" fontId="12" fillId="0" borderId="42" xfId="33" applyNumberFormat="1" applyFont="1" applyBorder="1" applyAlignment="1">
      <alignment/>
    </xf>
    <xf numFmtId="194" fontId="12" fillId="0" borderId="42" xfId="33" applyFont="1" applyBorder="1" applyAlignment="1">
      <alignment/>
    </xf>
    <xf numFmtId="194" fontId="12" fillId="0" borderId="42" xfId="33" applyFont="1" applyBorder="1" applyAlignment="1">
      <alignment horizontal="center"/>
    </xf>
    <xf numFmtId="194" fontId="19" fillId="0" borderId="15" xfId="33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4" fontId="3" fillId="0" borderId="43" xfId="0" applyNumberFormat="1" applyFont="1" applyBorder="1" applyAlignment="1">
      <alignment/>
    </xf>
    <xf numFmtId="43" fontId="11" fillId="0" borderId="38" xfId="0" applyNumberFormat="1" applyFont="1" applyBorder="1" applyAlignment="1">
      <alignment/>
    </xf>
    <xf numFmtId="194" fontId="12" fillId="0" borderId="0" xfId="33" applyFont="1" applyBorder="1" applyAlignment="1">
      <alignment horizontal="center"/>
    </xf>
    <xf numFmtId="194" fontId="19" fillId="0" borderId="0" xfId="33" applyFont="1" applyAlignment="1">
      <alignment/>
    </xf>
    <xf numFmtId="4" fontId="4" fillId="0" borderId="12" xfId="0" applyNumberFormat="1" applyFont="1" applyBorder="1" applyAlignment="1">
      <alignment horizontal="right"/>
    </xf>
    <xf numFmtId="43" fontId="11" fillId="0" borderId="44" xfId="0" applyNumberFormat="1" applyFont="1" applyBorder="1" applyAlignment="1">
      <alignment/>
    </xf>
    <xf numFmtId="43" fontId="11" fillId="0" borderId="37" xfId="0" applyNumberFormat="1" applyFont="1" applyBorder="1" applyAlignment="1">
      <alignment/>
    </xf>
    <xf numFmtId="194" fontId="4" fillId="0" borderId="0" xfId="33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0" xfId="0" applyFont="1" applyBorder="1" applyAlignment="1">
      <alignment/>
    </xf>
    <xf numFmtId="194" fontId="19" fillId="0" borderId="0" xfId="33" applyFont="1" applyAlignment="1">
      <alignment horizontal="left"/>
    </xf>
    <xf numFmtId="194" fontId="19" fillId="0" borderId="0" xfId="33" applyFont="1" applyAlignment="1">
      <alignment horizontal="center"/>
    </xf>
    <xf numFmtId="194" fontId="12" fillId="0" borderId="0" xfId="33" applyFont="1" applyAlignment="1">
      <alignment horizontal="left"/>
    </xf>
    <xf numFmtId="194" fontId="12" fillId="0" borderId="0" xfId="33" applyFont="1" applyAlignment="1">
      <alignment horizontal="center"/>
    </xf>
    <xf numFmtId="23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94" fontId="12" fillId="0" borderId="0" xfId="33" applyFont="1" applyAlignment="1">
      <alignment horizontal="right"/>
    </xf>
    <xf numFmtId="194" fontId="19" fillId="0" borderId="19" xfId="33" applyFont="1" applyBorder="1" applyAlignment="1">
      <alignment horizontal="center"/>
    </xf>
    <xf numFmtId="194" fontId="19" fillId="0" borderId="45" xfId="33" applyFont="1" applyBorder="1" applyAlignment="1">
      <alignment horizontal="center"/>
    </xf>
    <xf numFmtId="194" fontId="19" fillId="0" borderId="41" xfId="33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2"/>
  <sheetViews>
    <sheetView view="pageBreakPreview" zoomScaleSheetLayoutView="100" workbookViewId="0" topLeftCell="A121">
      <selection activeCell="A124" sqref="A124"/>
    </sheetView>
  </sheetViews>
  <sheetFormatPr defaultColWidth="9.140625" defaultRowHeight="16.5" customHeight="1"/>
  <cols>
    <col min="1" max="1" width="65.28125" style="155" customWidth="1"/>
    <col min="2" max="2" width="6.57421875" style="166" customWidth="1"/>
    <col min="3" max="3" width="13.28125" style="12" customWidth="1"/>
    <col min="4" max="4" width="14.28125" style="8" customWidth="1"/>
    <col min="5" max="5" width="10.8515625" style="155" bestFit="1" customWidth="1"/>
    <col min="6" max="6" width="11.140625" style="155" bestFit="1" customWidth="1"/>
    <col min="7" max="16384" width="9.140625" style="155" customWidth="1"/>
  </cols>
  <sheetData>
    <row r="1" spans="1:4" ht="16.5" customHeight="1">
      <c r="A1" s="292" t="s">
        <v>0</v>
      </c>
      <c r="B1" s="292"/>
      <c r="C1" s="292"/>
      <c r="D1" s="292"/>
    </row>
    <row r="2" spans="1:4" ht="16.5" customHeight="1">
      <c r="A2" s="292" t="s">
        <v>1</v>
      </c>
      <c r="B2" s="292"/>
      <c r="C2" s="292"/>
      <c r="D2" s="292"/>
    </row>
    <row r="3" spans="1:4" ht="16.5" customHeight="1">
      <c r="A3" s="292" t="s">
        <v>541</v>
      </c>
      <c r="B3" s="292"/>
      <c r="C3" s="292"/>
      <c r="D3" s="292"/>
    </row>
    <row r="4" spans="1:4" s="158" customFormat="1" ht="16.5" customHeight="1">
      <c r="A4" s="156" t="s">
        <v>2</v>
      </c>
      <c r="B4" s="157" t="s">
        <v>3</v>
      </c>
      <c r="C4" s="44" t="s">
        <v>4</v>
      </c>
      <c r="D4" s="3" t="s">
        <v>5</v>
      </c>
    </row>
    <row r="5" spans="1:4" s="158" customFormat="1" ht="16.5" customHeight="1">
      <c r="A5" s="159" t="s">
        <v>527</v>
      </c>
      <c r="B5" s="161" t="s">
        <v>258</v>
      </c>
      <c r="C5" s="287">
        <v>768</v>
      </c>
      <c r="D5" s="96"/>
    </row>
    <row r="6" spans="1:4" s="158" customFormat="1" ht="16.5" customHeight="1">
      <c r="A6" s="160" t="s">
        <v>356</v>
      </c>
      <c r="B6" s="161" t="s">
        <v>427</v>
      </c>
      <c r="C6" s="46">
        <v>6346888.09</v>
      </c>
      <c r="D6" s="96"/>
    </row>
    <row r="7" spans="1:9" ht="16.5" customHeight="1">
      <c r="A7" s="160" t="s">
        <v>72</v>
      </c>
      <c r="B7" s="161" t="s">
        <v>427</v>
      </c>
      <c r="C7" s="46">
        <v>8374403.35</v>
      </c>
      <c r="D7" s="96"/>
      <c r="I7" s="160"/>
    </row>
    <row r="8" spans="1:4" ht="16.5" customHeight="1">
      <c r="A8" s="160" t="s">
        <v>73</v>
      </c>
      <c r="B8" s="161" t="s">
        <v>427</v>
      </c>
      <c r="C8" s="46">
        <v>105199.71</v>
      </c>
      <c r="D8" s="45"/>
    </row>
    <row r="9" spans="1:4" ht="16.5" customHeight="1">
      <c r="A9" s="160" t="s">
        <v>360</v>
      </c>
      <c r="B9" s="161" t="s">
        <v>427</v>
      </c>
      <c r="C9" s="46">
        <v>5157022.09</v>
      </c>
      <c r="D9" s="45"/>
    </row>
    <row r="10" spans="1:4" ht="16.5" customHeight="1">
      <c r="A10" s="160" t="s">
        <v>74</v>
      </c>
      <c r="B10" s="161" t="s">
        <v>428</v>
      </c>
      <c r="C10" s="46">
        <v>14155672.79</v>
      </c>
      <c r="D10" s="45"/>
    </row>
    <row r="11" spans="1:4" ht="16.5" customHeight="1">
      <c r="A11" s="160" t="s">
        <v>31</v>
      </c>
      <c r="B11" s="161" t="s">
        <v>429</v>
      </c>
      <c r="C11" s="46">
        <v>469968</v>
      </c>
      <c r="D11" s="45"/>
    </row>
    <row r="12" spans="1:4" ht="16.5" customHeight="1">
      <c r="A12" s="160" t="s">
        <v>458</v>
      </c>
      <c r="B12" s="161" t="s">
        <v>429</v>
      </c>
      <c r="C12" s="46">
        <v>4824700</v>
      </c>
      <c r="D12" s="45"/>
    </row>
    <row r="13" spans="1:4" ht="16.5" customHeight="1">
      <c r="A13" s="160" t="s">
        <v>459</v>
      </c>
      <c r="B13" s="161" t="s">
        <v>429</v>
      </c>
      <c r="C13" s="46">
        <v>1153600</v>
      </c>
      <c r="D13" s="45"/>
    </row>
    <row r="14" spans="1:4" ht="16.5" customHeight="1">
      <c r="A14" s="160" t="s">
        <v>460</v>
      </c>
      <c r="B14" s="161" t="s">
        <v>429</v>
      </c>
      <c r="C14" s="46">
        <v>4000</v>
      </c>
      <c r="D14" s="45"/>
    </row>
    <row r="15" spans="1:10" ht="16.5" customHeight="1">
      <c r="A15" s="160" t="s">
        <v>330</v>
      </c>
      <c r="B15" s="161" t="s">
        <v>430</v>
      </c>
      <c r="C15" s="46">
        <v>1886880</v>
      </c>
      <c r="D15" s="45"/>
      <c r="J15" s="155" t="s">
        <v>484</v>
      </c>
    </row>
    <row r="16" spans="1:4" ht="16.5" customHeight="1">
      <c r="A16" s="160" t="s">
        <v>331</v>
      </c>
      <c r="B16" s="161" t="s">
        <v>431</v>
      </c>
      <c r="C16" s="46">
        <v>3122637</v>
      </c>
      <c r="D16" s="45"/>
    </row>
    <row r="17" spans="1:4" ht="16.5" customHeight="1">
      <c r="A17" s="160" t="s">
        <v>461</v>
      </c>
      <c r="B17" s="161" t="s">
        <v>431</v>
      </c>
      <c r="C17" s="46">
        <v>130280</v>
      </c>
      <c r="D17" s="45"/>
    </row>
    <row r="18" spans="1:4" ht="16.5" customHeight="1">
      <c r="A18" s="160" t="s">
        <v>332</v>
      </c>
      <c r="B18" s="161" t="s">
        <v>431</v>
      </c>
      <c r="C18" s="46">
        <v>107380</v>
      </c>
      <c r="D18" s="45"/>
    </row>
    <row r="19" spans="1:4" ht="16.5" customHeight="1">
      <c r="A19" s="160" t="s">
        <v>333</v>
      </c>
      <c r="B19" s="161" t="s">
        <v>431</v>
      </c>
      <c r="C19" s="46">
        <v>917273</v>
      </c>
      <c r="D19" s="45"/>
    </row>
    <row r="20" spans="1:4" ht="16.5" customHeight="1">
      <c r="A20" s="160" t="s">
        <v>462</v>
      </c>
      <c r="B20" s="161" t="s">
        <v>431</v>
      </c>
      <c r="C20" s="46">
        <v>80000</v>
      </c>
      <c r="D20" s="45"/>
    </row>
    <row r="21" spans="1:4" ht="16.5" customHeight="1">
      <c r="A21" s="160" t="s">
        <v>6</v>
      </c>
      <c r="B21" s="161" t="s">
        <v>432</v>
      </c>
      <c r="C21" s="46">
        <v>235784</v>
      </c>
      <c r="D21" s="45"/>
    </row>
    <row r="22" spans="1:4" ht="16.5" customHeight="1">
      <c r="A22" s="160" t="s">
        <v>7</v>
      </c>
      <c r="B22" s="161" t="s">
        <v>358</v>
      </c>
      <c r="C22" s="46">
        <v>1700709.11</v>
      </c>
      <c r="D22" s="45"/>
    </row>
    <row r="23" spans="1:4" ht="16.5" customHeight="1">
      <c r="A23" s="160" t="s">
        <v>556</v>
      </c>
      <c r="B23" s="161" t="s">
        <v>358</v>
      </c>
      <c r="C23" s="46">
        <v>63700</v>
      </c>
      <c r="D23" s="45"/>
    </row>
    <row r="24" spans="1:4" ht="16.5" customHeight="1">
      <c r="A24" s="160" t="s">
        <v>8</v>
      </c>
      <c r="B24" s="161" t="s">
        <v>433</v>
      </c>
      <c r="C24" s="46">
        <v>784766.52</v>
      </c>
      <c r="D24" s="45"/>
    </row>
    <row r="25" spans="1:4" ht="16.5" customHeight="1">
      <c r="A25" s="160" t="s">
        <v>9</v>
      </c>
      <c r="B25" s="161" t="s">
        <v>434</v>
      </c>
      <c r="C25" s="46">
        <v>194066.61</v>
      </c>
      <c r="D25" s="45"/>
    </row>
    <row r="26" spans="1:4" ht="16.5" customHeight="1">
      <c r="A26" s="160" t="s">
        <v>54</v>
      </c>
      <c r="B26" s="161" t="s">
        <v>435</v>
      </c>
      <c r="C26" s="46">
        <v>198470.42</v>
      </c>
      <c r="D26" s="45"/>
    </row>
    <row r="27" spans="1:4" ht="16.5" customHeight="1">
      <c r="A27" s="160" t="s">
        <v>55</v>
      </c>
      <c r="B27" s="161" t="s">
        <v>342</v>
      </c>
      <c r="C27" s="46">
        <v>1034600</v>
      </c>
      <c r="D27" s="45"/>
    </row>
    <row r="28" spans="1:4" ht="16.5" customHeight="1">
      <c r="A28" s="160" t="s">
        <v>542</v>
      </c>
      <c r="B28" s="161" t="s">
        <v>342</v>
      </c>
      <c r="C28" s="46">
        <v>1110000</v>
      </c>
      <c r="D28" s="45"/>
    </row>
    <row r="29" spans="1:4" ht="16.5" customHeight="1">
      <c r="A29" s="160" t="s">
        <v>32</v>
      </c>
      <c r="B29" s="161" t="s">
        <v>436</v>
      </c>
      <c r="C29" s="46">
        <v>1289780</v>
      </c>
      <c r="D29" s="45"/>
    </row>
    <row r="30" spans="1:4" ht="16.5" customHeight="1">
      <c r="A30" s="160" t="s">
        <v>334</v>
      </c>
      <c r="B30" s="161" t="s">
        <v>438</v>
      </c>
      <c r="C30" s="46">
        <v>2706.49</v>
      </c>
      <c r="D30" s="45"/>
    </row>
    <row r="31" spans="1:4" ht="16.5" customHeight="1">
      <c r="A31" s="159" t="s">
        <v>426</v>
      </c>
      <c r="B31" s="161" t="s">
        <v>439</v>
      </c>
      <c r="C31" s="46">
        <v>1031560</v>
      </c>
      <c r="D31" s="45"/>
    </row>
    <row r="32" spans="1:4" ht="16.5" customHeight="1">
      <c r="A32" s="159" t="s">
        <v>448</v>
      </c>
      <c r="B32" s="161" t="s">
        <v>449</v>
      </c>
      <c r="C32" s="46">
        <v>0</v>
      </c>
      <c r="D32" s="45"/>
    </row>
    <row r="33" spans="1:4" ht="16.5" customHeight="1">
      <c r="A33" s="159" t="s">
        <v>11</v>
      </c>
      <c r="B33" s="161" t="s">
        <v>357</v>
      </c>
      <c r="C33" s="46"/>
      <c r="D33" s="45">
        <f>5091270.11+1242343.67+3565986.22+1434674.06+1972494.68+1747445.15+2673093.51</f>
        <v>17727307.4</v>
      </c>
    </row>
    <row r="34" spans="1:4" ht="16.5" customHeight="1">
      <c r="A34" s="160" t="s">
        <v>447</v>
      </c>
      <c r="B34" s="161" t="s">
        <v>444</v>
      </c>
      <c r="C34" s="46"/>
      <c r="D34" s="97">
        <v>632382</v>
      </c>
    </row>
    <row r="35" spans="1:4" ht="16.5" customHeight="1">
      <c r="A35" s="160" t="s">
        <v>335</v>
      </c>
      <c r="B35" s="161" t="s">
        <v>443</v>
      </c>
      <c r="C35" s="46"/>
      <c r="D35" s="95">
        <v>1828048.43</v>
      </c>
    </row>
    <row r="36" spans="1:8" ht="16.5" customHeight="1">
      <c r="A36" s="160" t="s">
        <v>10</v>
      </c>
      <c r="B36" s="161" t="s">
        <v>432</v>
      </c>
      <c r="C36" s="46"/>
      <c r="D36" s="45">
        <v>12574054.56</v>
      </c>
      <c r="H36" s="155" t="s">
        <v>253</v>
      </c>
    </row>
    <row r="37" spans="1:4" ht="16.5" customHeight="1">
      <c r="A37" s="160" t="s">
        <v>127</v>
      </c>
      <c r="B37" s="161" t="s">
        <v>358</v>
      </c>
      <c r="C37" s="46"/>
      <c r="D37" s="45">
        <v>14155672.79</v>
      </c>
    </row>
    <row r="38" spans="1:4" ht="16.5" customHeight="1">
      <c r="A38" s="160" t="s">
        <v>450</v>
      </c>
      <c r="B38" s="161" t="s">
        <v>451</v>
      </c>
      <c r="C38" s="46"/>
      <c r="D38" s="45">
        <v>0</v>
      </c>
    </row>
    <row r="39" spans="1:4" ht="16.5" customHeight="1">
      <c r="A39" s="160" t="s">
        <v>486</v>
      </c>
      <c r="B39" s="161" t="s">
        <v>435</v>
      </c>
      <c r="C39" s="46"/>
      <c r="D39" s="45">
        <v>146850</v>
      </c>
    </row>
    <row r="40" spans="1:4" ht="16.5" customHeight="1">
      <c r="A40" s="160" t="s">
        <v>487</v>
      </c>
      <c r="B40" s="161" t="s">
        <v>435</v>
      </c>
      <c r="C40" s="46"/>
      <c r="D40" s="45">
        <v>81000</v>
      </c>
    </row>
    <row r="41" spans="1:4" ht="16.5" customHeight="1">
      <c r="A41" s="160" t="s">
        <v>488</v>
      </c>
      <c r="B41" s="161" t="s">
        <v>435</v>
      </c>
      <c r="C41" s="46"/>
      <c r="D41" s="45">
        <v>9000</v>
      </c>
    </row>
    <row r="42" spans="1:4" ht="16.5" customHeight="1">
      <c r="A42" s="160" t="s">
        <v>489</v>
      </c>
      <c r="B42" s="161" t="s">
        <v>435</v>
      </c>
      <c r="C42" s="46"/>
      <c r="D42" s="45">
        <v>4500</v>
      </c>
    </row>
    <row r="43" spans="1:4" ht="16.5" customHeight="1">
      <c r="A43" s="160" t="s">
        <v>490</v>
      </c>
      <c r="B43" s="161" t="s">
        <v>435</v>
      </c>
      <c r="C43" s="46"/>
      <c r="D43" s="45">
        <v>63700</v>
      </c>
    </row>
    <row r="44" spans="1:4" ht="16.5" customHeight="1">
      <c r="A44" s="160" t="s">
        <v>491</v>
      </c>
      <c r="B44" s="161" t="s">
        <v>435</v>
      </c>
      <c r="C44" s="46"/>
      <c r="D44" s="45">
        <v>4913500</v>
      </c>
    </row>
    <row r="45" spans="1:4" ht="16.5" customHeight="1">
      <c r="A45" s="160" t="s">
        <v>492</v>
      </c>
      <c r="B45" s="161" t="s">
        <v>435</v>
      </c>
      <c r="C45" s="46"/>
      <c r="D45" s="45">
        <v>1236800</v>
      </c>
    </row>
    <row r="46" spans="1:4" ht="16.5" customHeight="1">
      <c r="A46" s="160" t="s">
        <v>543</v>
      </c>
      <c r="B46" s="161" t="s">
        <v>435</v>
      </c>
      <c r="C46" s="46"/>
      <c r="D46" s="45">
        <v>1110000</v>
      </c>
    </row>
    <row r="47" spans="2:5" ht="16.5" customHeight="1">
      <c r="B47" s="162"/>
      <c r="C47" s="6">
        <f>SUM(C5:C32)</f>
        <v>54482815.18000001</v>
      </c>
      <c r="D47" s="7">
        <f>SUM(D33:D46)</f>
        <v>54482815.18</v>
      </c>
      <c r="E47" s="163"/>
    </row>
    <row r="48" spans="2:5" ht="16.5" customHeight="1">
      <c r="B48" s="162"/>
      <c r="C48" s="291"/>
      <c r="E48" s="160"/>
    </row>
    <row r="49" spans="2:5" ht="16.5" customHeight="1">
      <c r="B49" s="162"/>
      <c r="C49" s="291"/>
      <c r="E49" s="160"/>
    </row>
    <row r="50" spans="2:5" ht="16.5" customHeight="1">
      <c r="B50" s="162"/>
      <c r="C50" s="291"/>
      <c r="E50" s="160"/>
    </row>
    <row r="51" spans="2:5" ht="16.5" customHeight="1">
      <c r="B51" s="162"/>
      <c r="C51" s="291"/>
      <c r="E51" s="160"/>
    </row>
    <row r="52" spans="2:5" ht="16.5" customHeight="1">
      <c r="B52" s="162"/>
      <c r="C52" s="291"/>
      <c r="E52" s="160"/>
    </row>
    <row r="53" spans="2:5" ht="16.5" customHeight="1">
      <c r="B53" s="162"/>
      <c r="C53" s="291"/>
      <c r="E53" s="160"/>
    </row>
    <row r="54" spans="2:5" ht="16.5" customHeight="1">
      <c r="B54" s="162"/>
      <c r="C54" s="291"/>
      <c r="E54" s="160"/>
    </row>
    <row r="55" spans="2:5" ht="16.5" customHeight="1">
      <c r="B55" s="162"/>
      <c r="C55" s="291"/>
      <c r="E55" s="160"/>
    </row>
    <row r="56" spans="2:5" ht="16.5" customHeight="1">
      <c r="B56" s="162"/>
      <c r="C56" s="291"/>
      <c r="E56" s="160"/>
    </row>
    <row r="57" spans="2:5" ht="16.5" customHeight="1">
      <c r="B57" s="162"/>
      <c r="C57" s="291"/>
      <c r="E57" s="160"/>
    </row>
    <row r="58" spans="1:4" ht="16.5" customHeight="1">
      <c r="A58" s="294" t="s">
        <v>120</v>
      </c>
      <c r="B58" s="294"/>
      <c r="C58" s="294"/>
      <c r="D58" s="294"/>
    </row>
    <row r="59" spans="1:4" ht="16.5" customHeight="1">
      <c r="A59" s="294" t="s">
        <v>121</v>
      </c>
      <c r="B59" s="294"/>
      <c r="C59" s="294"/>
      <c r="D59" s="294"/>
    </row>
    <row r="60" spans="1:4" ht="16.5" customHeight="1">
      <c r="A60" s="164"/>
      <c r="B60" s="164"/>
      <c r="C60" s="164"/>
      <c r="D60" s="164"/>
    </row>
    <row r="61" spans="1:4" ht="16.5" customHeight="1">
      <c r="A61" s="164"/>
      <c r="B61" s="164"/>
      <c r="C61" s="164"/>
      <c r="D61" s="164"/>
    </row>
    <row r="62" spans="1:4" ht="16.5" customHeight="1">
      <c r="A62" s="165" t="s">
        <v>119</v>
      </c>
      <c r="B62" s="164"/>
      <c r="C62" s="10"/>
      <c r="D62" s="10"/>
    </row>
    <row r="63" spans="1:4" ht="16.5" customHeight="1">
      <c r="A63" s="158" t="s">
        <v>118</v>
      </c>
      <c r="B63" s="158"/>
      <c r="C63" s="4"/>
      <c r="D63" s="4"/>
    </row>
    <row r="64" spans="1:4" ht="16.5" customHeight="1">
      <c r="A64" s="158" t="s">
        <v>15</v>
      </c>
      <c r="B64" s="158"/>
      <c r="C64" s="4"/>
      <c r="D64" s="4"/>
    </row>
    <row r="65" spans="1:4" ht="16.5" customHeight="1">
      <c r="A65" s="154" t="s">
        <v>544</v>
      </c>
      <c r="B65" s="154"/>
      <c r="C65" s="85"/>
      <c r="D65" s="85"/>
    </row>
    <row r="66" spans="1:4" ht="16.5" customHeight="1">
      <c r="A66" s="154"/>
      <c r="B66" s="154"/>
      <c r="C66" s="85"/>
      <c r="D66" s="85"/>
    </row>
    <row r="67" spans="1:4" ht="16.5" customHeight="1">
      <c r="A67" s="154"/>
      <c r="B67" s="154"/>
      <c r="C67" s="85"/>
      <c r="D67" s="85"/>
    </row>
    <row r="68" spans="1:4" ht="16.5" customHeight="1">
      <c r="A68" s="154"/>
      <c r="B68" s="154"/>
      <c r="C68" s="85"/>
      <c r="D68" s="85"/>
    </row>
    <row r="69" spans="1:4" ht="16.5" customHeight="1">
      <c r="A69" s="154"/>
      <c r="B69" s="154"/>
      <c r="C69" s="85"/>
      <c r="D69" s="85"/>
    </row>
    <row r="70" spans="1:4" ht="16.5" customHeight="1">
      <c r="A70" s="154"/>
      <c r="B70" s="154"/>
      <c r="C70" s="85"/>
      <c r="D70" s="85"/>
    </row>
    <row r="71" spans="1:4" ht="16.5" customHeight="1">
      <c r="A71" s="154"/>
      <c r="B71" s="154"/>
      <c r="C71" s="85"/>
      <c r="D71" s="85"/>
    </row>
    <row r="72" spans="1:4" ht="16.5" customHeight="1">
      <c r="A72" s="154"/>
      <c r="B72" s="154"/>
      <c r="C72" s="85"/>
      <c r="D72" s="85"/>
    </row>
    <row r="73" spans="1:4" ht="16.5" customHeight="1">
      <c r="A73" s="154"/>
      <c r="B73" s="154"/>
      <c r="C73" s="85"/>
      <c r="D73" s="85"/>
    </row>
    <row r="74" spans="1:4" ht="16.5" customHeight="1">
      <c r="A74" s="154"/>
      <c r="B74" s="154"/>
      <c r="C74" s="85"/>
      <c r="D74" s="85"/>
    </row>
    <row r="75" spans="1:4" ht="16.5" customHeight="1">
      <c r="A75" s="154"/>
      <c r="B75" s="154"/>
      <c r="C75" s="85"/>
      <c r="D75" s="85"/>
    </row>
    <row r="76" spans="1:4" ht="16.5" customHeight="1">
      <c r="A76" s="154"/>
      <c r="B76" s="154"/>
      <c r="C76" s="85"/>
      <c r="D76" s="85"/>
    </row>
    <row r="77" spans="1:4" ht="16.5" customHeight="1">
      <c r="A77" s="154"/>
      <c r="B77" s="154"/>
      <c r="C77" s="85"/>
      <c r="D77" s="85"/>
    </row>
    <row r="78" spans="1:4" ht="16.5" customHeight="1">
      <c r="A78" s="154"/>
      <c r="B78" s="154"/>
      <c r="C78" s="85"/>
      <c r="D78" s="85"/>
    </row>
    <row r="79" spans="1:4" ht="16.5" customHeight="1">
      <c r="A79" s="154"/>
      <c r="B79" s="154"/>
      <c r="C79" s="85"/>
      <c r="D79" s="85"/>
    </row>
    <row r="80" spans="1:4" ht="16.5" customHeight="1">
      <c r="A80" s="154"/>
      <c r="B80" s="154"/>
      <c r="C80" s="85"/>
      <c r="D80" s="85"/>
    </row>
    <row r="81" spans="1:4" ht="16.5" customHeight="1">
      <c r="A81" s="154"/>
      <c r="B81" s="154"/>
      <c r="C81" s="85"/>
      <c r="D81" s="85"/>
    </row>
    <row r="82" spans="1:4" ht="16.5" customHeight="1">
      <c r="A82" s="154"/>
      <c r="B82" s="154"/>
      <c r="C82" s="85"/>
      <c r="D82" s="85"/>
    </row>
    <row r="83" spans="1:4" ht="16.5" customHeight="1">
      <c r="A83" s="154"/>
      <c r="B83" s="154"/>
      <c r="C83" s="85"/>
      <c r="D83" s="85"/>
    </row>
    <row r="84" spans="1:4" ht="16.5" customHeight="1">
      <c r="A84" s="154"/>
      <c r="B84" s="154"/>
      <c r="C84" s="85"/>
      <c r="D84" s="85"/>
    </row>
    <row r="85" spans="1:4" ht="16.5" customHeight="1">
      <c r="A85" s="154"/>
      <c r="B85" s="154"/>
      <c r="C85" s="85"/>
      <c r="D85" s="85"/>
    </row>
    <row r="86" spans="1:4" ht="16.5" customHeight="1">
      <c r="A86" s="154"/>
      <c r="B86" s="154"/>
      <c r="C86" s="85"/>
      <c r="D86" s="85"/>
    </row>
    <row r="87" spans="1:4" ht="16.5" customHeight="1">
      <c r="A87" s="154"/>
      <c r="B87" s="154"/>
      <c r="C87" s="85"/>
      <c r="D87" s="85"/>
    </row>
    <row r="88" spans="1:4" ht="16.5" customHeight="1">
      <c r="A88" s="154"/>
      <c r="B88" s="154"/>
      <c r="C88" s="85"/>
      <c r="D88" s="85"/>
    </row>
    <row r="89" spans="1:4" ht="16.5" customHeight="1">
      <c r="A89" s="154"/>
      <c r="B89" s="154"/>
      <c r="C89" s="85"/>
      <c r="D89" s="85"/>
    </row>
    <row r="90" spans="1:4" ht="16.5" customHeight="1">
      <c r="A90" s="154"/>
      <c r="B90" s="154"/>
      <c r="C90" s="85"/>
      <c r="D90" s="85"/>
    </row>
    <row r="91" spans="1:4" ht="16.5" customHeight="1">
      <c r="A91" s="154"/>
      <c r="B91" s="154"/>
      <c r="C91" s="85"/>
      <c r="D91" s="85"/>
    </row>
    <row r="92" spans="1:4" ht="16.5" customHeight="1">
      <c r="A92" s="154"/>
      <c r="B92" s="154"/>
      <c r="C92" s="85"/>
      <c r="D92" s="85"/>
    </row>
    <row r="93" spans="1:4" ht="16.5" customHeight="1">
      <c r="A93" s="154"/>
      <c r="B93" s="154"/>
      <c r="C93" s="85"/>
      <c r="D93" s="85"/>
    </row>
    <row r="94" spans="1:4" ht="16.5" customHeight="1">
      <c r="A94" s="154"/>
      <c r="B94" s="154"/>
      <c r="C94" s="85"/>
      <c r="D94" s="85"/>
    </row>
    <row r="95" spans="1:4" ht="16.5" customHeight="1">
      <c r="A95" s="154"/>
      <c r="B95" s="154"/>
      <c r="C95" s="85"/>
      <c r="D95" s="85"/>
    </row>
    <row r="96" spans="1:4" ht="16.5" customHeight="1">
      <c r="A96" s="154"/>
      <c r="B96" s="154"/>
      <c r="C96" s="85"/>
      <c r="D96" s="85"/>
    </row>
    <row r="97" spans="1:4" ht="16.5" customHeight="1">
      <c r="A97" s="154"/>
      <c r="B97" s="154"/>
      <c r="C97" s="85"/>
      <c r="D97" s="85"/>
    </row>
    <row r="98" spans="1:4" ht="16.5" customHeight="1">
      <c r="A98" s="154"/>
      <c r="B98" s="154"/>
      <c r="C98" s="85"/>
      <c r="D98" s="85"/>
    </row>
    <row r="99" spans="1:4" ht="16.5" customHeight="1">
      <c r="A99" s="154"/>
      <c r="B99" s="154"/>
      <c r="C99" s="85"/>
      <c r="D99" s="85"/>
    </row>
    <row r="100" spans="1:4" ht="16.5" customHeight="1">
      <c r="A100" s="154"/>
      <c r="B100" s="154"/>
      <c r="C100" s="85"/>
      <c r="D100" s="85"/>
    </row>
    <row r="101" spans="1:4" ht="16.5" customHeight="1">
      <c r="A101" s="154"/>
      <c r="B101" s="154"/>
      <c r="C101" s="85"/>
      <c r="D101" s="85"/>
    </row>
    <row r="102" spans="1:4" ht="16.5" customHeight="1">
      <c r="A102" s="154"/>
      <c r="B102" s="154"/>
      <c r="C102" s="85"/>
      <c r="D102" s="85"/>
    </row>
    <row r="103" spans="1:4" ht="16.5" customHeight="1">
      <c r="A103" s="154"/>
      <c r="B103" s="154"/>
      <c r="C103" s="85"/>
      <c r="D103" s="85"/>
    </row>
    <row r="104" spans="1:4" ht="16.5" customHeight="1">
      <c r="A104" s="154"/>
      <c r="B104" s="154"/>
      <c r="C104" s="85"/>
      <c r="D104" s="85"/>
    </row>
    <row r="105" spans="1:4" ht="16.5" customHeight="1">
      <c r="A105" s="154"/>
      <c r="B105" s="154"/>
      <c r="C105" s="85"/>
      <c r="D105" s="85"/>
    </row>
    <row r="106" spans="1:4" ht="16.5" customHeight="1">
      <c r="A106" s="292" t="s">
        <v>57</v>
      </c>
      <c r="B106" s="292"/>
      <c r="C106" s="292"/>
      <c r="D106" s="292"/>
    </row>
    <row r="107" spans="1:4" ht="16.5" customHeight="1">
      <c r="A107" s="293" t="s">
        <v>409</v>
      </c>
      <c r="B107" s="293"/>
      <c r="C107" s="293"/>
      <c r="D107" s="293"/>
    </row>
    <row r="108" spans="1:4" ht="16.5" customHeight="1">
      <c r="A108" s="293" t="s">
        <v>545</v>
      </c>
      <c r="B108" s="293"/>
      <c r="C108" s="293"/>
      <c r="D108" s="293"/>
    </row>
    <row r="109" spans="1:13" ht="16.5" customHeight="1">
      <c r="A109" s="158"/>
      <c r="B109" s="158"/>
      <c r="C109" s="158"/>
      <c r="D109" s="158"/>
      <c r="K109" s="160"/>
      <c r="L109" s="160"/>
      <c r="M109" s="160"/>
    </row>
    <row r="110" spans="1:13" ht="16.5" customHeight="1">
      <c r="A110" s="165" t="s">
        <v>410</v>
      </c>
      <c r="B110" s="158"/>
      <c r="C110" s="158"/>
      <c r="D110" s="158"/>
      <c r="K110" s="160"/>
      <c r="L110" s="160"/>
      <c r="M110" s="160"/>
    </row>
    <row r="111" spans="1:4" ht="16.5" customHeight="1">
      <c r="A111" s="165"/>
      <c r="B111" s="158"/>
      <c r="C111" s="158"/>
      <c r="D111" s="158" t="s">
        <v>69</v>
      </c>
    </row>
    <row r="112" spans="1:4" ht="16.5" customHeight="1">
      <c r="A112" s="165" t="s">
        <v>17</v>
      </c>
      <c r="B112" s="158"/>
      <c r="C112" s="4"/>
      <c r="D112" s="48">
        <v>665691</v>
      </c>
    </row>
    <row r="113" spans="1:4" ht="16.5" customHeight="1">
      <c r="A113" s="165" t="s">
        <v>361</v>
      </c>
      <c r="B113" s="158"/>
      <c r="C113" s="4"/>
      <c r="D113" s="48">
        <v>18894.1</v>
      </c>
    </row>
    <row r="114" spans="1:4" ht="16.5" customHeight="1">
      <c r="A114" s="155" t="s">
        <v>18</v>
      </c>
      <c r="D114" s="290">
        <v>6703.62</v>
      </c>
    </row>
    <row r="115" spans="1:4" ht="16.5" customHeight="1">
      <c r="A115" s="155" t="s">
        <v>398</v>
      </c>
      <c r="D115" s="290">
        <v>0</v>
      </c>
    </row>
    <row r="116" spans="1:4" ht="16.5" customHeight="1">
      <c r="A116" s="165" t="s">
        <v>75</v>
      </c>
      <c r="D116" s="8">
        <v>1136759.71</v>
      </c>
    </row>
    <row r="117" ht="16.5" customHeight="1">
      <c r="A117" s="160"/>
    </row>
    <row r="118" spans="1:4" ht="16.5" customHeight="1" thickBot="1">
      <c r="A118" s="160"/>
      <c r="C118" s="12" t="s">
        <v>19</v>
      </c>
      <c r="D118" s="283">
        <f>SUM(D112:D117)</f>
        <v>1828048.43</v>
      </c>
    </row>
    <row r="119" ht="16.5" customHeight="1" thickTop="1">
      <c r="A119" s="160"/>
    </row>
    <row r="120" ht="16.5" customHeight="1">
      <c r="A120" s="160"/>
    </row>
    <row r="121" spans="1:7" ht="16.5" customHeight="1">
      <c r="A121" s="160"/>
      <c r="G121" s="160"/>
    </row>
    <row r="122" spans="4:7" ht="16.5" customHeight="1">
      <c r="D122" s="13"/>
      <c r="G122" s="279"/>
    </row>
    <row r="123" ht="16.5" customHeight="1">
      <c r="D123" s="13"/>
    </row>
    <row r="124" ht="16.5" customHeight="1">
      <c r="D124" s="13"/>
    </row>
    <row r="125" spans="1:4" ht="16.5" customHeight="1">
      <c r="A125" s="168"/>
      <c r="D125" s="13"/>
    </row>
    <row r="126" spans="1:4" ht="16.5" customHeight="1">
      <c r="A126" s="168"/>
      <c r="D126" s="13"/>
    </row>
    <row r="127" spans="1:4" ht="16.5" customHeight="1">
      <c r="A127" s="168"/>
      <c r="D127" s="13"/>
    </row>
    <row r="128" spans="1:4" ht="16.5" customHeight="1">
      <c r="A128" s="168"/>
      <c r="D128" s="13"/>
    </row>
    <row r="129" spans="1:4" ht="16.5" customHeight="1">
      <c r="A129" s="158"/>
      <c r="D129" s="13"/>
    </row>
    <row r="130" spans="2:4" ht="16.5" customHeight="1">
      <c r="B130" s="155"/>
      <c r="C130" s="2"/>
      <c r="D130" s="2"/>
    </row>
    <row r="131" spans="2:4" ht="16.5" customHeight="1">
      <c r="B131" s="155"/>
      <c r="C131" s="2"/>
      <c r="D131" s="2"/>
    </row>
    <row r="132" spans="2:4" ht="16.5" customHeight="1">
      <c r="B132" s="155"/>
      <c r="C132" s="2"/>
      <c r="D132" s="2"/>
    </row>
    <row r="133" spans="2:4" ht="16.5" customHeight="1">
      <c r="B133" s="155"/>
      <c r="C133" s="2"/>
      <c r="D133" s="2"/>
    </row>
    <row r="134" spans="2:4" ht="16.5" customHeight="1">
      <c r="B134" s="155"/>
      <c r="C134" s="2"/>
      <c r="D134" s="2"/>
    </row>
    <row r="135" spans="2:4" ht="16.5" customHeight="1">
      <c r="B135" s="155"/>
      <c r="C135" s="2"/>
      <c r="D135" s="2"/>
    </row>
    <row r="136" spans="2:4" ht="16.5" customHeight="1">
      <c r="B136" s="155"/>
      <c r="C136" s="2"/>
      <c r="D136" s="2"/>
    </row>
    <row r="137" spans="2:4" ht="16.5" customHeight="1">
      <c r="B137" s="155"/>
      <c r="C137" s="2"/>
      <c r="D137" s="2"/>
    </row>
    <row r="138" spans="2:4" ht="16.5" customHeight="1">
      <c r="B138" s="155"/>
      <c r="C138" s="2"/>
      <c r="D138" s="2"/>
    </row>
    <row r="139" spans="2:4" ht="16.5" customHeight="1">
      <c r="B139" s="155"/>
      <c r="C139" s="2"/>
      <c r="D139" s="2"/>
    </row>
    <row r="140" spans="2:4" ht="16.5" customHeight="1">
      <c r="B140" s="155"/>
      <c r="C140" s="2"/>
      <c r="D140" s="2"/>
    </row>
    <row r="141" spans="2:4" ht="16.5" customHeight="1">
      <c r="B141" s="155"/>
      <c r="C141" s="2"/>
      <c r="D141" s="2"/>
    </row>
    <row r="142" spans="2:4" ht="16.5" customHeight="1">
      <c r="B142" s="155"/>
      <c r="C142" s="2"/>
      <c r="D142" s="2"/>
    </row>
    <row r="143" spans="2:4" ht="16.5" customHeight="1">
      <c r="B143" s="155"/>
      <c r="C143" s="2"/>
      <c r="D143" s="2"/>
    </row>
    <row r="144" spans="2:4" ht="16.5" customHeight="1">
      <c r="B144" s="155"/>
      <c r="C144" s="2"/>
      <c r="D144" s="2"/>
    </row>
    <row r="145" spans="2:4" ht="16.5" customHeight="1">
      <c r="B145" s="155"/>
      <c r="C145" s="2"/>
      <c r="D145" s="2"/>
    </row>
    <row r="146" spans="2:4" ht="16.5" customHeight="1">
      <c r="B146" s="155"/>
      <c r="C146" s="2"/>
      <c r="D146" s="2"/>
    </row>
    <row r="147" spans="2:4" ht="16.5" customHeight="1">
      <c r="B147" s="155"/>
      <c r="C147" s="2"/>
      <c r="D147" s="2"/>
    </row>
    <row r="148" spans="2:4" ht="16.5" customHeight="1">
      <c r="B148" s="155"/>
      <c r="C148" s="2"/>
      <c r="D148" s="2"/>
    </row>
    <row r="149" spans="2:4" ht="16.5" customHeight="1">
      <c r="B149" s="155"/>
      <c r="C149" s="2"/>
      <c r="D149" s="2"/>
    </row>
    <row r="150" spans="2:4" ht="16.5" customHeight="1">
      <c r="B150" s="155"/>
      <c r="C150" s="2"/>
      <c r="D150" s="2"/>
    </row>
    <row r="151" spans="2:4" ht="16.5" customHeight="1">
      <c r="B151" s="155"/>
      <c r="C151" s="2"/>
      <c r="D151" s="2"/>
    </row>
    <row r="152" spans="2:4" ht="16.5" customHeight="1">
      <c r="B152" s="155"/>
      <c r="C152" s="2"/>
      <c r="D152" s="2"/>
    </row>
    <row r="153" spans="2:4" ht="16.5" customHeight="1">
      <c r="B153" s="155"/>
      <c r="C153" s="2"/>
      <c r="D153" s="2"/>
    </row>
    <row r="154" spans="2:4" ht="16.5" customHeight="1">
      <c r="B154" s="155"/>
      <c r="C154" s="2"/>
      <c r="D154" s="2"/>
    </row>
    <row r="155" spans="2:4" ht="16.5" customHeight="1">
      <c r="B155" s="155"/>
      <c r="C155" s="2"/>
      <c r="D155" s="2"/>
    </row>
    <row r="156" spans="2:4" ht="16.5" customHeight="1">
      <c r="B156" s="155"/>
      <c r="C156" s="2"/>
      <c r="D156" s="2"/>
    </row>
    <row r="157" spans="2:4" ht="16.5" customHeight="1">
      <c r="B157" s="155"/>
      <c r="C157" s="2"/>
      <c r="D157" s="2"/>
    </row>
    <row r="158" spans="2:4" ht="16.5" customHeight="1">
      <c r="B158" s="155"/>
      <c r="C158" s="2"/>
      <c r="D158" s="2"/>
    </row>
    <row r="159" spans="2:4" ht="16.5" customHeight="1">
      <c r="B159" s="155"/>
      <c r="C159" s="2"/>
      <c r="D159" s="2"/>
    </row>
    <row r="160" spans="2:4" ht="16.5" customHeight="1">
      <c r="B160" s="155"/>
      <c r="C160" s="2"/>
      <c r="D160" s="2"/>
    </row>
    <row r="161" spans="2:4" ht="16.5" customHeight="1">
      <c r="B161" s="155"/>
      <c r="C161" s="2"/>
      <c r="D161" s="2"/>
    </row>
    <row r="162" spans="2:4" ht="16.5" customHeight="1">
      <c r="B162" s="155"/>
      <c r="C162" s="2"/>
      <c r="D162" s="2"/>
    </row>
    <row r="163" spans="2:4" ht="16.5" customHeight="1">
      <c r="B163" s="155"/>
      <c r="C163" s="2"/>
      <c r="D163" s="2"/>
    </row>
    <row r="164" spans="2:4" ht="16.5" customHeight="1">
      <c r="B164" s="155"/>
      <c r="C164" s="2"/>
      <c r="D164" s="2"/>
    </row>
    <row r="165" spans="2:4" ht="16.5" customHeight="1">
      <c r="B165" s="155"/>
      <c r="C165" s="2"/>
      <c r="D165" s="2"/>
    </row>
    <row r="166" spans="2:4" ht="16.5" customHeight="1">
      <c r="B166" s="155"/>
      <c r="C166" s="2"/>
      <c r="D166" s="2"/>
    </row>
    <row r="167" spans="2:4" ht="16.5" customHeight="1">
      <c r="B167" s="155"/>
      <c r="C167" s="2"/>
      <c r="D167" s="2"/>
    </row>
    <row r="168" spans="2:4" ht="16.5" customHeight="1">
      <c r="B168" s="155"/>
      <c r="C168" s="2"/>
      <c r="D168" s="2"/>
    </row>
    <row r="169" spans="2:4" ht="16.5" customHeight="1">
      <c r="B169" s="155"/>
      <c r="C169" s="2"/>
      <c r="D169" s="2"/>
    </row>
    <row r="170" spans="2:4" ht="16.5" customHeight="1">
      <c r="B170" s="155"/>
      <c r="C170" s="2"/>
      <c r="D170" s="2"/>
    </row>
    <row r="171" spans="2:4" ht="16.5" customHeight="1">
      <c r="B171" s="155"/>
      <c r="C171" s="2"/>
      <c r="D171" s="2"/>
    </row>
    <row r="172" spans="2:4" ht="16.5" customHeight="1">
      <c r="B172" s="155"/>
      <c r="C172" s="2"/>
      <c r="D172" s="2"/>
    </row>
    <row r="173" spans="2:4" ht="16.5" customHeight="1">
      <c r="B173" s="155"/>
      <c r="C173" s="2"/>
      <c r="D173" s="2"/>
    </row>
    <row r="174" spans="2:4" ht="16.5" customHeight="1">
      <c r="B174" s="155"/>
      <c r="C174" s="2"/>
      <c r="D174" s="2"/>
    </row>
    <row r="175" spans="2:4" ht="16.5" customHeight="1">
      <c r="B175" s="155"/>
      <c r="C175" s="2"/>
      <c r="D175" s="2"/>
    </row>
    <row r="176" spans="2:4" ht="16.5" customHeight="1">
      <c r="B176" s="155"/>
      <c r="C176" s="2"/>
      <c r="D176" s="2"/>
    </row>
    <row r="177" spans="2:4" ht="16.5" customHeight="1">
      <c r="B177" s="155"/>
      <c r="C177" s="2"/>
      <c r="D177" s="2"/>
    </row>
    <row r="178" spans="2:4" ht="16.5" customHeight="1">
      <c r="B178" s="155"/>
      <c r="C178" s="2"/>
      <c r="D178" s="2"/>
    </row>
    <row r="179" spans="2:4" ht="16.5" customHeight="1">
      <c r="B179" s="155"/>
      <c r="C179" s="2"/>
      <c r="D179" s="2"/>
    </row>
    <row r="180" spans="2:4" ht="16.5" customHeight="1">
      <c r="B180" s="155"/>
      <c r="C180" s="2"/>
      <c r="D180" s="2"/>
    </row>
    <row r="181" spans="2:4" ht="16.5" customHeight="1">
      <c r="B181" s="155"/>
      <c r="C181" s="2"/>
      <c r="D181" s="2"/>
    </row>
    <row r="182" spans="2:4" ht="16.5" customHeight="1">
      <c r="B182" s="155"/>
      <c r="C182" s="2"/>
      <c r="D182" s="2"/>
    </row>
    <row r="183" spans="2:4" ht="16.5" customHeight="1">
      <c r="B183" s="155"/>
      <c r="C183" s="2"/>
      <c r="D183" s="2"/>
    </row>
    <row r="184" spans="2:4" ht="16.5" customHeight="1">
      <c r="B184" s="155"/>
      <c r="C184" s="2"/>
      <c r="D184" s="2"/>
    </row>
    <row r="185" spans="2:4" ht="16.5" customHeight="1">
      <c r="B185" s="155"/>
      <c r="C185" s="2"/>
      <c r="D185" s="2"/>
    </row>
    <row r="186" spans="2:4" ht="16.5" customHeight="1">
      <c r="B186" s="155"/>
      <c r="C186" s="2"/>
      <c r="D186" s="2"/>
    </row>
    <row r="187" spans="2:4" ht="16.5" customHeight="1">
      <c r="B187" s="155"/>
      <c r="C187" s="2"/>
      <c r="D187" s="2"/>
    </row>
    <row r="188" spans="2:4" ht="16.5" customHeight="1">
      <c r="B188" s="155"/>
      <c r="C188" s="2"/>
      <c r="D188" s="2"/>
    </row>
    <row r="189" spans="2:4" ht="16.5" customHeight="1">
      <c r="B189" s="155"/>
      <c r="C189" s="2"/>
      <c r="D189" s="2"/>
    </row>
    <row r="190" spans="2:4" ht="16.5" customHeight="1">
      <c r="B190" s="155"/>
      <c r="C190" s="2"/>
      <c r="D190" s="2"/>
    </row>
    <row r="191" spans="2:4" ht="16.5" customHeight="1">
      <c r="B191" s="155"/>
      <c r="C191" s="2"/>
      <c r="D191" s="2"/>
    </row>
    <row r="192" spans="2:4" ht="16.5" customHeight="1">
      <c r="B192" s="155"/>
      <c r="C192" s="2"/>
      <c r="D192" s="2"/>
    </row>
    <row r="193" spans="2:4" ht="16.5" customHeight="1">
      <c r="B193" s="155"/>
      <c r="C193" s="2"/>
      <c r="D193" s="2"/>
    </row>
    <row r="194" spans="2:4" ht="16.5" customHeight="1">
      <c r="B194" s="155"/>
      <c r="C194" s="2"/>
      <c r="D194" s="2"/>
    </row>
    <row r="195" spans="2:4" ht="16.5" customHeight="1">
      <c r="B195" s="155"/>
      <c r="C195" s="2"/>
      <c r="D195" s="2"/>
    </row>
    <row r="196" spans="2:4" ht="16.5" customHeight="1">
      <c r="B196" s="155"/>
      <c r="C196" s="2"/>
      <c r="D196" s="2"/>
    </row>
    <row r="197" spans="2:4" ht="16.5" customHeight="1">
      <c r="B197" s="155"/>
      <c r="C197" s="2"/>
      <c r="D197" s="2"/>
    </row>
    <row r="198" spans="2:4" ht="16.5" customHeight="1">
      <c r="B198" s="155"/>
      <c r="C198" s="2"/>
      <c r="D198" s="2"/>
    </row>
    <row r="199" spans="2:4" ht="16.5" customHeight="1">
      <c r="B199" s="155"/>
      <c r="C199" s="2"/>
      <c r="D199" s="2"/>
    </row>
    <row r="200" spans="2:4" ht="16.5" customHeight="1">
      <c r="B200" s="155"/>
      <c r="C200" s="2"/>
      <c r="D200" s="2"/>
    </row>
    <row r="201" spans="2:4" ht="16.5" customHeight="1">
      <c r="B201" s="155"/>
      <c r="C201" s="2"/>
      <c r="D201" s="2"/>
    </row>
    <row r="202" spans="2:4" ht="16.5" customHeight="1">
      <c r="B202" s="155"/>
      <c r="C202" s="2"/>
      <c r="D202" s="2"/>
    </row>
    <row r="203" spans="2:4" ht="16.5" customHeight="1">
      <c r="B203" s="155"/>
      <c r="C203" s="2"/>
      <c r="D203" s="2"/>
    </row>
    <row r="204" spans="2:4" ht="16.5" customHeight="1">
      <c r="B204" s="155"/>
      <c r="C204" s="2"/>
      <c r="D204" s="2"/>
    </row>
    <row r="205" spans="2:4" ht="16.5" customHeight="1">
      <c r="B205" s="155"/>
      <c r="C205" s="2"/>
      <c r="D205" s="2"/>
    </row>
    <row r="206" spans="2:4" ht="16.5" customHeight="1">
      <c r="B206" s="155"/>
      <c r="C206" s="2"/>
      <c r="D206" s="2"/>
    </row>
    <row r="207" spans="2:4" ht="16.5" customHeight="1">
      <c r="B207" s="155"/>
      <c r="C207" s="2"/>
      <c r="D207" s="2"/>
    </row>
    <row r="208" spans="2:4" ht="16.5" customHeight="1">
      <c r="B208" s="155"/>
      <c r="C208" s="2"/>
      <c r="D208" s="2"/>
    </row>
    <row r="209" spans="2:4" ht="16.5" customHeight="1">
      <c r="B209" s="155"/>
      <c r="C209" s="2"/>
      <c r="D209" s="2"/>
    </row>
    <row r="210" spans="2:4" ht="16.5" customHeight="1">
      <c r="B210" s="155"/>
      <c r="C210" s="2"/>
      <c r="D210" s="2"/>
    </row>
    <row r="211" spans="2:4" ht="16.5" customHeight="1">
      <c r="B211" s="155"/>
      <c r="C211" s="2"/>
      <c r="D211" s="2"/>
    </row>
    <row r="212" spans="2:4" ht="16.5" customHeight="1">
      <c r="B212" s="155"/>
      <c r="C212" s="2"/>
      <c r="D212" s="2"/>
    </row>
    <row r="213" spans="2:4" ht="16.5" customHeight="1">
      <c r="B213" s="155"/>
      <c r="C213" s="2"/>
      <c r="D213" s="2"/>
    </row>
    <row r="214" spans="2:4" ht="16.5" customHeight="1">
      <c r="B214" s="155"/>
      <c r="C214" s="2"/>
      <c r="D214" s="2"/>
    </row>
    <row r="215" spans="2:4" ht="16.5" customHeight="1">
      <c r="B215" s="155"/>
      <c r="C215" s="2"/>
      <c r="D215" s="2"/>
    </row>
    <row r="216" spans="2:4" ht="16.5" customHeight="1">
      <c r="B216" s="155"/>
      <c r="C216" s="2"/>
      <c r="D216" s="2"/>
    </row>
    <row r="217" spans="2:4" ht="16.5" customHeight="1">
      <c r="B217" s="155"/>
      <c r="C217" s="2"/>
      <c r="D217" s="2"/>
    </row>
    <row r="218" spans="2:4" ht="16.5" customHeight="1">
      <c r="B218" s="155"/>
      <c r="C218" s="2"/>
      <c r="D218" s="2"/>
    </row>
    <row r="219" spans="2:4" ht="16.5" customHeight="1">
      <c r="B219" s="155"/>
      <c r="C219" s="2"/>
      <c r="D219" s="2"/>
    </row>
    <row r="220" spans="2:4" ht="16.5" customHeight="1">
      <c r="B220" s="155"/>
      <c r="C220" s="2"/>
      <c r="D220" s="2"/>
    </row>
    <row r="221" spans="2:4" ht="16.5" customHeight="1">
      <c r="B221" s="155"/>
      <c r="C221" s="2"/>
      <c r="D221" s="2"/>
    </row>
    <row r="222" spans="2:4" ht="16.5" customHeight="1">
      <c r="B222" s="155"/>
      <c r="C222" s="2"/>
      <c r="D222" s="2"/>
    </row>
    <row r="223" spans="2:4" ht="16.5" customHeight="1">
      <c r="B223" s="155"/>
      <c r="C223" s="2"/>
      <c r="D223" s="2"/>
    </row>
    <row r="224" spans="2:4" ht="16.5" customHeight="1">
      <c r="B224" s="155"/>
      <c r="C224" s="2"/>
      <c r="D224" s="2"/>
    </row>
    <row r="225" spans="2:4" ht="16.5" customHeight="1">
      <c r="B225" s="155"/>
      <c r="C225" s="2"/>
      <c r="D225" s="2"/>
    </row>
    <row r="226" spans="2:4" ht="16.5" customHeight="1">
      <c r="B226" s="155"/>
      <c r="C226" s="2"/>
      <c r="D226" s="2"/>
    </row>
    <row r="227" spans="2:4" ht="16.5" customHeight="1">
      <c r="B227" s="155"/>
      <c r="C227" s="2"/>
      <c r="D227" s="2"/>
    </row>
    <row r="228" spans="2:4" ht="16.5" customHeight="1">
      <c r="B228" s="155"/>
      <c r="C228" s="2"/>
      <c r="D228" s="2"/>
    </row>
    <row r="229" spans="2:4" ht="16.5" customHeight="1">
      <c r="B229" s="155"/>
      <c r="C229" s="2"/>
      <c r="D229" s="2"/>
    </row>
    <row r="230" spans="2:4" ht="16.5" customHeight="1">
      <c r="B230" s="155"/>
      <c r="C230" s="2"/>
      <c r="D230" s="2"/>
    </row>
    <row r="231" spans="2:4" ht="16.5" customHeight="1">
      <c r="B231" s="155"/>
      <c r="C231" s="2"/>
      <c r="D231" s="2"/>
    </row>
    <row r="232" spans="2:4" ht="16.5" customHeight="1">
      <c r="B232" s="155"/>
      <c r="C232" s="2"/>
      <c r="D232" s="2"/>
    </row>
    <row r="233" spans="2:4" ht="16.5" customHeight="1">
      <c r="B233" s="155"/>
      <c r="C233" s="2"/>
      <c r="D233" s="2"/>
    </row>
    <row r="234" spans="2:4" ht="16.5" customHeight="1">
      <c r="B234" s="155"/>
      <c r="C234" s="2"/>
      <c r="D234" s="2"/>
    </row>
    <row r="235" spans="2:4" ht="16.5" customHeight="1">
      <c r="B235" s="155"/>
      <c r="C235" s="2"/>
      <c r="D235" s="2"/>
    </row>
    <row r="236" spans="2:4" ht="16.5" customHeight="1">
      <c r="B236" s="155"/>
      <c r="C236" s="2"/>
      <c r="D236" s="2"/>
    </row>
    <row r="237" spans="2:4" ht="16.5" customHeight="1">
      <c r="B237" s="155"/>
      <c r="C237" s="2"/>
      <c r="D237" s="2"/>
    </row>
    <row r="238" spans="2:4" ht="16.5" customHeight="1">
      <c r="B238" s="155"/>
      <c r="C238" s="2"/>
      <c r="D238" s="2"/>
    </row>
    <row r="239" spans="2:4" ht="16.5" customHeight="1">
      <c r="B239" s="155"/>
      <c r="C239" s="2"/>
      <c r="D239" s="2"/>
    </row>
    <row r="240" spans="2:4" ht="16.5" customHeight="1">
      <c r="B240" s="155"/>
      <c r="C240" s="2"/>
      <c r="D240" s="2"/>
    </row>
    <row r="241" spans="2:4" ht="16.5" customHeight="1">
      <c r="B241" s="155"/>
      <c r="C241" s="2"/>
      <c r="D241" s="2"/>
    </row>
    <row r="242" spans="2:4" ht="16.5" customHeight="1">
      <c r="B242" s="155"/>
      <c r="C242" s="2"/>
      <c r="D242" s="2"/>
    </row>
    <row r="243" spans="2:4" ht="16.5" customHeight="1">
      <c r="B243" s="155"/>
      <c r="C243" s="2"/>
      <c r="D243" s="2"/>
    </row>
    <row r="244" spans="2:4" ht="16.5" customHeight="1">
      <c r="B244" s="155"/>
      <c r="C244" s="2"/>
      <c r="D244" s="2"/>
    </row>
    <row r="245" spans="2:4" ht="16.5" customHeight="1">
      <c r="B245" s="155"/>
      <c r="C245" s="2"/>
      <c r="D245" s="2"/>
    </row>
    <row r="246" spans="2:4" ht="16.5" customHeight="1">
      <c r="B246" s="155"/>
      <c r="C246" s="2"/>
      <c r="D246" s="2"/>
    </row>
    <row r="247" spans="2:4" ht="16.5" customHeight="1">
      <c r="B247" s="155"/>
      <c r="C247" s="2"/>
      <c r="D247" s="2"/>
    </row>
    <row r="248" spans="2:4" ht="16.5" customHeight="1">
      <c r="B248" s="155"/>
      <c r="C248" s="2"/>
      <c r="D248" s="2"/>
    </row>
    <row r="249" spans="2:4" ht="16.5" customHeight="1">
      <c r="B249" s="155"/>
      <c r="C249" s="2"/>
      <c r="D249" s="2"/>
    </row>
    <row r="250" spans="2:4" ht="16.5" customHeight="1">
      <c r="B250" s="155"/>
      <c r="C250" s="2"/>
      <c r="D250" s="2"/>
    </row>
    <row r="251" spans="2:4" ht="16.5" customHeight="1">
      <c r="B251" s="155"/>
      <c r="C251" s="2"/>
      <c r="D251" s="2"/>
    </row>
    <row r="252" spans="2:4" ht="16.5" customHeight="1">
      <c r="B252" s="155"/>
      <c r="C252" s="2"/>
      <c r="D252" s="2"/>
    </row>
    <row r="253" spans="2:4" ht="16.5" customHeight="1">
      <c r="B253" s="155"/>
      <c r="C253" s="2"/>
      <c r="D253" s="2"/>
    </row>
    <row r="254" spans="2:4" ht="16.5" customHeight="1">
      <c r="B254" s="155"/>
      <c r="C254" s="2"/>
      <c r="D254" s="2"/>
    </row>
    <row r="255" spans="2:4" ht="16.5" customHeight="1">
      <c r="B255" s="155"/>
      <c r="C255" s="2"/>
      <c r="D255" s="2"/>
    </row>
    <row r="256" spans="2:4" ht="16.5" customHeight="1">
      <c r="B256" s="155"/>
      <c r="C256" s="2"/>
      <c r="D256" s="2"/>
    </row>
    <row r="257" spans="2:4" ht="16.5" customHeight="1">
      <c r="B257" s="155"/>
      <c r="C257" s="2"/>
      <c r="D257" s="2"/>
    </row>
    <row r="258" spans="2:4" ht="16.5" customHeight="1">
      <c r="B258" s="155"/>
      <c r="C258" s="2"/>
      <c r="D258" s="2"/>
    </row>
    <row r="259" spans="2:4" ht="16.5" customHeight="1">
      <c r="B259" s="155"/>
      <c r="C259" s="2"/>
      <c r="D259" s="2"/>
    </row>
    <row r="260" spans="2:4" ht="16.5" customHeight="1">
      <c r="B260" s="155"/>
      <c r="C260" s="2"/>
      <c r="D260" s="2"/>
    </row>
    <row r="261" spans="2:4" ht="16.5" customHeight="1">
      <c r="B261" s="155"/>
      <c r="C261" s="2"/>
      <c r="D261" s="2"/>
    </row>
    <row r="262" spans="2:4" ht="16.5" customHeight="1">
      <c r="B262" s="155"/>
      <c r="C262" s="2"/>
      <c r="D262" s="2"/>
    </row>
    <row r="263" spans="2:4" ht="16.5" customHeight="1">
      <c r="B263" s="155"/>
      <c r="C263" s="2"/>
      <c r="D263" s="2"/>
    </row>
    <row r="264" spans="2:4" ht="16.5" customHeight="1">
      <c r="B264" s="155"/>
      <c r="C264" s="2"/>
      <c r="D264" s="2"/>
    </row>
    <row r="265" spans="2:4" ht="16.5" customHeight="1">
      <c r="B265" s="155"/>
      <c r="C265" s="2"/>
      <c r="D265" s="2"/>
    </row>
    <row r="266" spans="2:4" ht="16.5" customHeight="1">
      <c r="B266" s="155"/>
      <c r="C266" s="2"/>
      <c r="D266" s="2"/>
    </row>
    <row r="267" spans="2:4" ht="16.5" customHeight="1">
      <c r="B267" s="155"/>
      <c r="C267" s="2"/>
      <c r="D267" s="2"/>
    </row>
    <row r="268" spans="2:4" ht="16.5" customHeight="1">
      <c r="B268" s="155"/>
      <c r="C268" s="2"/>
      <c r="D268" s="2"/>
    </row>
    <row r="269" spans="2:4" ht="16.5" customHeight="1">
      <c r="B269" s="155"/>
      <c r="C269" s="2"/>
      <c r="D269" s="2"/>
    </row>
    <row r="270" spans="2:4" ht="16.5" customHeight="1">
      <c r="B270" s="155"/>
      <c r="C270" s="2"/>
      <c r="D270" s="2"/>
    </row>
    <row r="271" spans="2:4" ht="16.5" customHeight="1">
      <c r="B271" s="155"/>
      <c r="C271" s="2"/>
      <c r="D271" s="2"/>
    </row>
    <row r="272" spans="2:4" ht="16.5" customHeight="1">
      <c r="B272" s="155"/>
      <c r="C272" s="2"/>
      <c r="D272" s="2"/>
    </row>
    <row r="273" spans="2:4" ht="16.5" customHeight="1">
      <c r="B273" s="155"/>
      <c r="C273" s="2"/>
      <c r="D273" s="2"/>
    </row>
    <row r="274" spans="2:4" ht="16.5" customHeight="1">
      <c r="B274" s="155"/>
      <c r="C274" s="2"/>
      <c r="D274" s="2"/>
    </row>
    <row r="275" spans="2:4" ht="16.5" customHeight="1">
      <c r="B275" s="155"/>
      <c r="C275" s="2"/>
      <c r="D275" s="2"/>
    </row>
    <row r="276" spans="2:4" ht="16.5" customHeight="1">
      <c r="B276" s="155"/>
      <c r="C276" s="2"/>
      <c r="D276" s="2"/>
    </row>
    <row r="277" spans="2:4" ht="16.5" customHeight="1">
      <c r="B277" s="155"/>
      <c r="C277" s="2"/>
      <c r="D277" s="2"/>
    </row>
    <row r="278" spans="2:4" ht="16.5" customHeight="1">
      <c r="B278" s="155"/>
      <c r="C278" s="2"/>
      <c r="D278" s="2"/>
    </row>
    <row r="279" spans="2:4" ht="16.5" customHeight="1">
      <c r="B279" s="155"/>
      <c r="C279" s="2"/>
      <c r="D279" s="2"/>
    </row>
    <row r="280" spans="2:4" ht="16.5" customHeight="1">
      <c r="B280" s="155"/>
      <c r="C280" s="2"/>
      <c r="D280" s="2"/>
    </row>
    <row r="281" spans="2:4" ht="16.5" customHeight="1">
      <c r="B281" s="155"/>
      <c r="C281" s="2"/>
      <c r="D281" s="2"/>
    </row>
    <row r="282" spans="2:4" ht="16.5" customHeight="1">
      <c r="B282" s="155"/>
      <c r="C282" s="2"/>
      <c r="D282" s="2"/>
    </row>
    <row r="283" spans="2:4" ht="16.5" customHeight="1">
      <c r="B283" s="155"/>
      <c r="C283" s="2"/>
      <c r="D283" s="2"/>
    </row>
    <row r="284" spans="2:4" ht="16.5" customHeight="1">
      <c r="B284" s="155"/>
      <c r="C284" s="2"/>
      <c r="D284" s="2"/>
    </row>
    <row r="285" spans="2:4" ht="16.5" customHeight="1">
      <c r="B285" s="155"/>
      <c r="C285" s="2"/>
      <c r="D285" s="2"/>
    </row>
    <row r="286" spans="2:4" ht="16.5" customHeight="1">
      <c r="B286" s="155"/>
      <c r="C286" s="2"/>
      <c r="D286" s="2"/>
    </row>
    <row r="287" spans="2:4" ht="16.5" customHeight="1">
      <c r="B287" s="155"/>
      <c r="C287" s="2"/>
      <c r="D287" s="2"/>
    </row>
    <row r="288" spans="2:4" ht="16.5" customHeight="1">
      <c r="B288" s="155"/>
      <c r="C288" s="2"/>
      <c r="D288" s="2"/>
    </row>
    <row r="289" spans="2:4" ht="16.5" customHeight="1">
      <c r="B289" s="155"/>
      <c r="C289" s="2"/>
      <c r="D289" s="2"/>
    </row>
    <row r="290" spans="2:4" ht="16.5" customHeight="1">
      <c r="B290" s="155"/>
      <c r="C290" s="2"/>
      <c r="D290" s="2"/>
    </row>
    <row r="291" spans="2:4" ht="16.5" customHeight="1">
      <c r="B291" s="155"/>
      <c r="C291" s="2"/>
      <c r="D291" s="2"/>
    </row>
    <row r="292" spans="2:4" ht="16.5" customHeight="1">
      <c r="B292" s="155"/>
      <c r="C292" s="2"/>
      <c r="D292" s="2"/>
    </row>
    <row r="293" spans="2:4" ht="16.5" customHeight="1">
      <c r="B293" s="155"/>
      <c r="C293" s="2"/>
      <c r="D293" s="2"/>
    </row>
    <row r="294" spans="2:4" ht="16.5" customHeight="1">
      <c r="B294" s="155"/>
      <c r="C294" s="2"/>
      <c r="D294" s="2"/>
    </row>
    <row r="295" spans="2:4" ht="16.5" customHeight="1">
      <c r="B295" s="155"/>
      <c r="C295" s="2"/>
      <c r="D295" s="2"/>
    </row>
    <row r="296" spans="2:4" ht="16.5" customHeight="1">
      <c r="B296" s="155"/>
      <c r="C296" s="2"/>
      <c r="D296" s="2"/>
    </row>
    <row r="297" spans="2:4" ht="16.5" customHeight="1">
      <c r="B297" s="155"/>
      <c r="C297" s="2"/>
      <c r="D297" s="2"/>
    </row>
    <row r="298" spans="2:4" ht="16.5" customHeight="1">
      <c r="B298" s="155"/>
      <c r="C298" s="2"/>
      <c r="D298" s="2"/>
    </row>
    <row r="299" spans="2:4" ht="16.5" customHeight="1">
      <c r="B299" s="155"/>
      <c r="C299" s="2"/>
      <c r="D299" s="2"/>
    </row>
    <row r="300" spans="2:4" ht="16.5" customHeight="1">
      <c r="B300" s="155"/>
      <c r="C300" s="2"/>
      <c r="D300" s="2"/>
    </row>
    <row r="301" spans="2:4" ht="16.5" customHeight="1">
      <c r="B301" s="155"/>
      <c r="C301" s="2"/>
      <c r="D301" s="2"/>
    </row>
    <row r="302" spans="2:4" ht="16.5" customHeight="1">
      <c r="B302" s="155"/>
      <c r="C302" s="2"/>
      <c r="D302" s="2"/>
    </row>
    <row r="303" spans="2:4" ht="16.5" customHeight="1">
      <c r="B303" s="155"/>
      <c r="C303" s="2"/>
      <c r="D303" s="2"/>
    </row>
    <row r="304" spans="2:4" ht="16.5" customHeight="1">
      <c r="B304" s="155"/>
      <c r="C304" s="2"/>
      <c r="D304" s="2"/>
    </row>
    <row r="305" spans="2:4" ht="16.5" customHeight="1">
      <c r="B305" s="155"/>
      <c r="C305" s="2"/>
      <c r="D305" s="2"/>
    </row>
    <row r="306" spans="2:4" ht="16.5" customHeight="1">
      <c r="B306" s="155"/>
      <c r="C306" s="2"/>
      <c r="D306" s="2"/>
    </row>
    <row r="307" spans="2:4" ht="16.5" customHeight="1">
      <c r="B307" s="155"/>
      <c r="C307" s="2"/>
      <c r="D307" s="2"/>
    </row>
    <row r="308" spans="2:4" ht="16.5" customHeight="1">
      <c r="B308" s="155"/>
      <c r="C308" s="2"/>
      <c r="D308" s="2"/>
    </row>
    <row r="309" spans="2:4" ht="16.5" customHeight="1">
      <c r="B309" s="155"/>
      <c r="C309" s="2"/>
      <c r="D309" s="2"/>
    </row>
    <row r="310" spans="2:4" ht="16.5" customHeight="1">
      <c r="B310" s="155"/>
      <c r="C310" s="2"/>
      <c r="D310" s="2"/>
    </row>
    <row r="311" spans="2:4" ht="16.5" customHeight="1">
      <c r="B311" s="155"/>
      <c r="C311" s="2"/>
      <c r="D311" s="2"/>
    </row>
    <row r="312" spans="2:4" ht="16.5" customHeight="1">
      <c r="B312" s="155"/>
      <c r="C312" s="2"/>
      <c r="D312" s="2"/>
    </row>
    <row r="313" spans="2:4" ht="16.5" customHeight="1">
      <c r="B313" s="155"/>
      <c r="C313" s="2"/>
      <c r="D313" s="2"/>
    </row>
    <row r="314" spans="2:4" ht="16.5" customHeight="1">
      <c r="B314" s="155"/>
      <c r="C314" s="2"/>
      <c r="D314" s="2"/>
    </row>
    <row r="315" spans="2:4" ht="16.5" customHeight="1">
      <c r="B315" s="155"/>
      <c r="C315" s="2"/>
      <c r="D315" s="2"/>
    </row>
    <row r="316" spans="2:4" ht="16.5" customHeight="1">
      <c r="B316" s="155"/>
      <c r="C316" s="2"/>
      <c r="D316" s="2"/>
    </row>
    <row r="317" spans="2:4" ht="16.5" customHeight="1">
      <c r="B317" s="155"/>
      <c r="C317" s="2"/>
      <c r="D317" s="2"/>
    </row>
    <row r="318" spans="2:4" ht="16.5" customHeight="1">
      <c r="B318" s="155"/>
      <c r="C318" s="2"/>
      <c r="D318" s="2"/>
    </row>
    <row r="319" spans="2:4" ht="16.5" customHeight="1">
      <c r="B319" s="155"/>
      <c r="C319" s="2"/>
      <c r="D319" s="2"/>
    </row>
    <row r="320" spans="2:4" ht="16.5" customHeight="1">
      <c r="B320" s="155"/>
      <c r="C320" s="2"/>
      <c r="D320" s="2"/>
    </row>
    <row r="321" spans="2:4" ht="16.5" customHeight="1">
      <c r="B321" s="155"/>
      <c r="C321" s="2"/>
      <c r="D321" s="2"/>
    </row>
    <row r="322" spans="2:4" ht="16.5" customHeight="1">
      <c r="B322" s="155"/>
      <c r="C322" s="2"/>
      <c r="D322" s="2"/>
    </row>
    <row r="323" spans="2:4" ht="16.5" customHeight="1">
      <c r="B323" s="155"/>
      <c r="C323" s="2"/>
      <c r="D323" s="2"/>
    </row>
    <row r="324" spans="2:4" ht="16.5" customHeight="1">
      <c r="B324" s="155"/>
      <c r="C324" s="2"/>
      <c r="D324" s="2"/>
    </row>
    <row r="325" spans="2:4" ht="16.5" customHeight="1">
      <c r="B325" s="155"/>
      <c r="C325" s="2"/>
      <c r="D325" s="2"/>
    </row>
    <row r="326" spans="2:4" ht="16.5" customHeight="1">
      <c r="B326" s="155"/>
      <c r="C326" s="2"/>
      <c r="D326" s="2"/>
    </row>
    <row r="327" spans="2:4" ht="16.5" customHeight="1">
      <c r="B327" s="155"/>
      <c r="C327" s="2"/>
      <c r="D327" s="2"/>
    </row>
    <row r="328" spans="2:4" ht="16.5" customHeight="1">
      <c r="B328" s="155"/>
      <c r="C328" s="2"/>
      <c r="D328" s="2"/>
    </row>
    <row r="329" spans="2:4" ht="16.5" customHeight="1">
      <c r="B329" s="155"/>
      <c r="C329" s="2"/>
      <c r="D329" s="2"/>
    </row>
    <row r="330" spans="2:4" ht="16.5" customHeight="1">
      <c r="B330" s="155"/>
      <c r="C330" s="2"/>
      <c r="D330" s="2"/>
    </row>
    <row r="331" spans="2:4" ht="16.5" customHeight="1">
      <c r="B331" s="155"/>
      <c r="C331" s="2"/>
      <c r="D331" s="2"/>
    </row>
    <row r="332" spans="2:4" ht="16.5" customHeight="1">
      <c r="B332" s="155"/>
      <c r="C332" s="2"/>
      <c r="D332" s="2"/>
    </row>
    <row r="333" spans="2:4" ht="16.5" customHeight="1">
      <c r="B333" s="155"/>
      <c r="C333" s="2"/>
      <c r="D333" s="2"/>
    </row>
    <row r="334" spans="2:4" ht="16.5" customHeight="1">
      <c r="B334" s="155"/>
      <c r="C334" s="2"/>
      <c r="D334" s="2"/>
    </row>
    <row r="335" spans="2:4" ht="16.5" customHeight="1">
      <c r="B335" s="155"/>
      <c r="C335" s="2"/>
      <c r="D335" s="2"/>
    </row>
    <row r="336" spans="2:4" ht="16.5" customHeight="1">
      <c r="B336" s="155"/>
      <c r="C336" s="2"/>
      <c r="D336" s="2"/>
    </row>
    <row r="337" spans="2:4" ht="16.5" customHeight="1">
      <c r="B337" s="155"/>
      <c r="C337" s="2"/>
      <c r="D337" s="2"/>
    </row>
    <row r="338" spans="2:4" ht="16.5" customHeight="1">
      <c r="B338" s="155"/>
      <c r="C338" s="2"/>
      <c r="D338" s="2"/>
    </row>
    <row r="339" spans="2:4" ht="16.5" customHeight="1">
      <c r="B339" s="155"/>
      <c r="C339" s="2"/>
      <c r="D339" s="2"/>
    </row>
    <row r="340" spans="2:4" ht="16.5" customHeight="1">
      <c r="B340" s="155"/>
      <c r="C340" s="2"/>
      <c r="D340" s="2"/>
    </row>
    <row r="341" spans="2:4" ht="16.5" customHeight="1">
      <c r="B341" s="155"/>
      <c r="C341" s="2"/>
      <c r="D341" s="2"/>
    </row>
    <row r="342" spans="2:4" ht="16.5" customHeight="1">
      <c r="B342" s="155"/>
      <c r="C342" s="2"/>
      <c r="D342" s="2"/>
    </row>
    <row r="343" spans="2:4" ht="16.5" customHeight="1">
      <c r="B343" s="155"/>
      <c r="C343" s="2"/>
      <c r="D343" s="2"/>
    </row>
    <row r="344" spans="2:4" ht="16.5" customHeight="1">
      <c r="B344" s="155"/>
      <c r="C344" s="2"/>
      <c r="D344" s="2"/>
    </row>
    <row r="345" spans="2:4" ht="16.5" customHeight="1">
      <c r="B345" s="155"/>
      <c r="C345" s="2"/>
      <c r="D345" s="2"/>
    </row>
    <row r="346" spans="2:4" ht="16.5" customHeight="1">
      <c r="B346" s="155"/>
      <c r="C346" s="2"/>
      <c r="D346" s="2"/>
    </row>
    <row r="347" spans="2:4" ht="16.5" customHeight="1">
      <c r="B347" s="155"/>
      <c r="C347" s="2"/>
      <c r="D347" s="2"/>
    </row>
    <row r="348" spans="2:4" ht="16.5" customHeight="1">
      <c r="B348" s="155"/>
      <c r="C348" s="2"/>
      <c r="D348" s="2"/>
    </row>
    <row r="349" spans="2:4" ht="16.5" customHeight="1">
      <c r="B349" s="155"/>
      <c r="C349" s="2"/>
      <c r="D349" s="2"/>
    </row>
    <row r="350" spans="2:4" ht="16.5" customHeight="1">
      <c r="B350" s="155"/>
      <c r="C350" s="2"/>
      <c r="D350" s="2"/>
    </row>
    <row r="351" spans="2:4" ht="16.5" customHeight="1">
      <c r="B351" s="155"/>
      <c r="C351" s="2"/>
      <c r="D351" s="2"/>
    </row>
    <row r="352" spans="2:4" ht="16.5" customHeight="1">
      <c r="B352" s="155"/>
      <c r="C352" s="2"/>
      <c r="D352" s="2"/>
    </row>
    <row r="353" spans="2:4" ht="16.5" customHeight="1">
      <c r="B353" s="155"/>
      <c r="C353" s="2"/>
      <c r="D353" s="2"/>
    </row>
    <row r="354" spans="2:4" ht="16.5" customHeight="1">
      <c r="B354" s="155"/>
      <c r="C354" s="2"/>
      <c r="D354" s="2"/>
    </row>
    <row r="355" spans="2:4" ht="16.5" customHeight="1">
      <c r="B355" s="155"/>
      <c r="C355" s="2"/>
      <c r="D355" s="2"/>
    </row>
    <row r="356" spans="2:4" ht="16.5" customHeight="1">
      <c r="B356" s="155"/>
      <c r="C356" s="2"/>
      <c r="D356" s="2"/>
    </row>
    <row r="357" spans="2:4" ht="16.5" customHeight="1">
      <c r="B357" s="155"/>
      <c r="C357" s="2"/>
      <c r="D357" s="2"/>
    </row>
    <row r="358" spans="2:4" ht="16.5" customHeight="1">
      <c r="B358" s="155"/>
      <c r="C358" s="2"/>
      <c r="D358" s="2"/>
    </row>
    <row r="359" spans="2:4" ht="16.5" customHeight="1">
      <c r="B359" s="155"/>
      <c r="C359" s="2"/>
      <c r="D359" s="2"/>
    </row>
    <row r="360" spans="2:4" ht="16.5" customHeight="1">
      <c r="B360" s="155"/>
      <c r="C360" s="2"/>
      <c r="D360" s="2"/>
    </row>
    <row r="361" spans="2:4" ht="16.5" customHeight="1">
      <c r="B361" s="155"/>
      <c r="C361" s="2"/>
      <c r="D361" s="2"/>
    </row>
    <row r="362" spans="2:4" ht="16.5" customHeight="1">
      <c r="B362" s="155"/>
      <c r="C362" s="2"/>
      <c r="D362" s="2"/>
    </row>
    <row r="363" spans="2:4" ht="16.5" customHeight="1">
      <c r="B363" s="155"/>
      <c r="C363" s="2"/>
      <c r="D363" s="2"/>
    </row>
    <row r="364" spans="2:4" ht="16.5" customHeight="1">
      <c r="B364" s="155"/>
      <c r="C364" s="2"/>
      <c r="D364" s="2"/>
    </row>
    <row r="365" spans="2:4" ht="16.5" customHeight="1">
      <c r="B365" s="155"/>
      <c r="C365" s="2"/>
      <c r="D365" s="2"/>
    </row>
    <row r="366" spans="2:4" ht="16.5" customHeight="1">
      <c r="B366" s="155"/>
      <c r="C366" s="2"/>
      <c r="D366" s="2"/>
    </row>
    <row r="367" spans="2:4" ht="16.5" customHeight="1">
      <c r="B367" s="155"/>
      <c r="C367" s="2"/>
      <c r="D367" s="2"/>
    </row>
    <row r="368" spans="2:4" ht="16.5" customHeight="1">
      <c r="B368" s="155"/>
      <c r="C368" s="2"/>
      <c r="D368" s="2"/>
    </row>
    <row r="369" spans="2:4" ht="16.5" customHeight="1">
      <c r="B369" s="155"/>
      <c r="C369" s="2"/>
      <c r="D369" s="2"/>
    </row>
    <row r="370" spans="2:4" ht="16.5" customHeight="1">
      <c r="B370" s="155"/>
      <c r="C370" s="2"/>
      <c r="D370" s="2"/>
    </row>
    <row r="371" spans="2:4" ht="16.5" customHeight="1">
      <c r="B371" s="155"/>
      <c r="C371" s="2"/>
      <c r="D371" s="2"/>
    </row>
    <row r="372" spans="2:4" ht="16.5" customHeight="1">
      <c r="B372" s="155"/>
      <c r="C372" s="2"/>
      <c r="D372" s="2"/>
    </row>
    <row r="373" spans="2:4" ht="16.5" customHeight="1">
      <c r="B373" s="155"/>
      <c r="C373" s="2"/>
      <c r="D373" s="2"/>
    </row>
    <row r="374" spans="2:4" ht="16.5" customHeight="1">
      <c r="B374" s="155"/>
      <c r="C374" s="2"/>
      <c r="D374" s="2"/>
    </row>
    <row r="375" spans="2:4" ht="16.5" customHeight="1">
      <c r="B375" s="155"/>
      <c r="C375" s="2"/>
      <c r="D375" s="2"/>
    </row>
    <row r="376" spans="2:4" ht="16.5" customHeight="1">
      <c r="B376" s="155"/>
      <c r="C376" s="2"/>
      <c r="D376" s="2"/>
    </row>
    <row r="377" spans="2:4" ht="16.5" customHeight="1">
      <c r="B377" s="155"/>
      <c r="C377" s="2"/>
      <c r="D377" s="2"/>
    </row>
    <row r="378" spans="2:4" ht="16.5" customHeight="1">
      <c r="B378" s="155"/>
      <c r="C378" s="2"/>
      <c r="D378" s="2"/>
    </row>
    <row r="379" spans="2:4" ht="16.5" customHeight="1">
      <c r="B379" s="155"/>
      <c r="C379" s="2"/>
      <c r="D379" s="2"/>
    </row>
    <row r="380" spans="2:4" ht="16.5" customHeight="1">
      <c r="B380" s="155"/>
      <c r="C380" s="2"/>
      <c r="D380" s="2"/>
    </row>
    <row r="381" spans="2:4" ht="16.5" customHeight="1">
      <c r="B381" s="155"/>
      <c r="C381" s="2"/>
      <c r="D381" s="2"/>
    </row>
    <row r="382" spans="2:4" ht="16.5" customHeight="1">
      <c r="B382" s="155"/>
      <c r="C382" s="2"/>
      <c r="D382" s="2"/>
    </row>
    <row r="383" spans="2:4" ht="16.5" customHeight="1">
      <c r="B383" s="155"/>
      <c r="C383" s="2"/>
      <c r="D383" s="2"/>
    </row>
    <row r="384" spans="2:4" ht="16.5" customHeight="1">
      <c r="B384" s="155"/>
      <c r="C384" s="2"/>
      <c r="D384" s="2"/>
    </row>
    <row r="385" spans="2:4" ht="16.5" customHeight="1">
      <c r="B385" s="155"/>
      <c r="C385" s="2"/>
      <c r="D385" s="2"/>
    </row>
    <row r="386" spans="2:4" ht="16.5" customHeight="1">
      <c r="B386" s="155"/>
      <c r="C386" s="2"/>
      <c r="D386" s="2"/>
    </row>
    <row r="387" spans="2:4" ht="16.5" customHeight="1">
      <c r="B387" s="155"/>
      <c r="C387" s="2"/>
      <c r="D387" s="2"/>
    </row>
    <row r="388" spans="2:4" ht="16.5" customHeight="1">
      <c r="B388" s="155"/>
      <c r="C388" s="2"/>
      <c r="D388" s="2"/>
    </row>
    <row r="389" spans="2:4" ht="16.5" customHeight="1">
      <c r="B389" s="155"/>
      <c r="C389" s="2"/>
      <c r="D389" s="2"/>
    </row>
    <row r="390" spans="2:4" ht="16.5" customHeight="1">
      <c r="B390" s="155"/>
      <c r="C390" s="2"/>
      <c r="D390" s="2"/>
    </row>
    <row r="391" spans="2:4" ht="16.5" customHeight="1">
      <c r="B391" s="155"/>
      <c r="C391" s="2"/>
      <c r="D391" s="2"/>
    </row>
    <row r="392" spans="2:4" ht="16.5" customHeight="1">
      <c r="B392" s="155"/>
      <c r="C392" s="2"/>
      <c r="D392" s="2"/>
    </row>
    <row r="393" spans="2:4" ht="16.5" customHeight="1">
      <c r="B393" s="155"/>
      <c r="C393" s="2"/>
      <c r="D393" s="2"/>
    </row>
    <row r="394" spans="2:4" ht="16.5" customHeight="1">
      <c r="B394" s="155"/>
      <c r="C394" s="2"/>
      <c r="D394" s="2"/>
    </row>
    <row r="395" spans="2:4" ht="16.5" customHeight="1">
      <c r="B395" s="155"/>
      <c r="C395" s="2"/>
      <c r="D395" s="2"/>
    </row>
    <row r="396" spans="2:4" ht="16.5" customHeight="1">
      <c r="B396" s="155"/>
      <c r="C396" s="2"/>
      <c r="D396" s="2"/>
    </row>
    <row r="397" spans="2:4" ht="16.5" customHeight="1">
      <c r="B397" s="155"/>
      <c r="C397" s="2"/>
      <c r="D397" s="2"/>
    </row>
    <row r="398" spans="2:4" ht="16.5" customHeight="1">
      <c r="B398" s="155"/>
      <c r="C398" s="2"/>
      <c r="D398" s="2"/>
    </row>
    <row r="399" spans="2:4" ht="16.5" customHeight="1">
      <c r="B399" s="155"/>
      <c r="C399" s="2"/>
      <c r="D399" s="2"/>
    </row>
    <row r="400" spans="2:4" ht="16.5" customHeight="1">
      <c r="B400" s="155"/>
      <c r="C400" s="2"/>
      <c r="D400" s="2"/>
    </row>
    <row r="401" spans="2:4" ht="16.5" customHeight="1">
      <c r="B401" s="155"/>
      <c r="C401" s="2"/>
      <c r="D401" s="2"/>
    </row>
    <row r="402" spans="2:4" ht="16.5" customHeight="1">
      <c r="B402" s="155"/>
      <c r="C402" s="2"/>
      <c r="D402" s="2"/>
    </row>
    <row r="403" spans="2:4" ht="16.5" customHeight="1">
      <c r="B403" s="155"/>
      <c r="C403" s="2"/>
      <c r="D403" s="2"/>
    </row>
    <row r="404" spans="2:4" ht="16.5" customHeight="1">
      <c r="B404" s="155"/>
      <c r="C404" s="2"/>
      <c r="D404" s="2"/>
    </row>
    <row r="405" spans="2:4" ht="16.5" customHeight="1">
      <c r="B405" s="155"/>
      <c r="C405" s="2"/>
      <c r="D405" s="2"/>
    </row>
    <row r="406" spans="2:4" ht="16.5" customHeight="1">
      <c r="B406" s="155"/>
      <c r="C406" s="2"/>
      <c r="D406" s="2"/>
    </row>
    <row r="407" spans="2:4" ht="16.5" customHeight="1">
      <c r="B407" s="155"/>
      <c r="C407" s="2"/>
      <c r="D407" s="2"/>
    </row>
    <row r="408" spans="2:4" ht="16.5" customHeight="1">
      <c r="B408" s="155"/>
      <c r="C408" s="2"/>
      <c r="D408" s="2"/>
    </row>
    <row r="409" spans="2:4" ht="16.5" customHeight="1">
      <c r="B409" s="155"/>
      <c r="C409" s="2"/>
      <c r="D409" s="2"/>
    </row>
    <row r="410" spans="2:4" ht="16.5" customHeight="1">
      <c r="B410" s="155"/>
      <c r="C410" s="2"/>
      <c r="D410" s="2"/>
    </row>
    <row r="411" spans="2:4" ht="16.5" customHeight="1">
      <c r="B411" s="155"/>
      <c r="C411" s="2"/>
      <c r="D411" s="2"/>
    </row>
    <row r="412" spans="2:4" ht="16.5" customHeight="1">
      <c r="B412" s="155"/>
      <c r="C412" s="2"/>
      <c r="D412" s="2"/>
    </row>
    <row r="413" spans="2:4" ht="16.5" customHeight="1">
      <c r="B413" s="155"/>
      <c r="C413" s="2"/>
      <c r="D413" s="2"/>
    </row>
    <row r="414" spans="2:4" ht="16.5" customHeight="1">
      <c r="B414" s="155"/>
      <c r="C414" s="2"/>
      <c r="D414" s="2"/>
    </row>
    <row r="415" spans="2:4" ht="16.5" customHeight="1">
      <c r="B415" s="155"/>
      <c r="C415" s="2"/>
      <c r="D415" s="2"/>
    </row>
    <row r="416" spans="2:4" ht="16.5" customHeight="1">
      <c r="B416" s="155"/>
      <c r="C416" s="2"/>
      <c r="D416" s="2"/>
    </row>
    <row r="417" spans="2:4" ht="16.5" customHeight="1">
      <c r="B417" s="155"/>
      <c r="C417" s="2"/>
      <c r="D417" s="2"/>
    </row>
    <row r="418" spans="2:4" ht="16.5" customHeight="1">
      <c r="B418" s="155"/>
      <c r="C418" s="2"/>
      <c r="D418" s="2"/>
    </row>
    <row r="419" spans="2:4" ht="16.5" customHeight="1">
      <c r="B419" s="155"/>
      <c r="C419" s="2"/>
      <c r="D419" s="2"/>
    </row>
    <row r="420" spans="2:4" ht="16.5" customHeight="1">
      <c r="B420" s="155"/>
      <c r="C420" s="2"/>
      <c r="D420" s="2"/>
    </row>
    <row r="421" spans="2:4" ht="16.5" customHeight="1">
      <c r="B421" s="155"/>
      <c r="C421" s="2"/>
      <c r="D421" s="2"/>
    </row>
    <row r="422" spans="2:4" ht="16.5" customHeight="1">
      <c r="B422" s="155"/>
      <c r="C422" s="2"/>
      <c r="D422" s="2"/>
    </row>
    <row r="423" spans="2:4" ht="16.5" customHeight="1">
      <c r="B423" s="155"/>
      <c r="C423" s="2"/>
      <c r="D423" s="2"/>
    </row>
    <row r="424" spans="2:4" ht="16.5" customHeight="1">
      <c r="B424" s="155"/>
      <c r="C424" s="2"/>
      <c r="D424" s="2"/>
    </row>
    <row r="425" spans="2:4" ht="16.5" customHeight="1">
      <c r="B425" s="155"/>
      <c r="C425" s="2"/>
      <c r="D425" s="2"/>
    </row>
    <row r="426" spans="2:4" ht="16.5" customHeight="1">
      <c r="B426" s="155"/>
      <c r="C426" s="2"/>
      <c r="D426" s="2"/>
    </row>
    <row r="427" spans="2:4" ht="16.5" customHeight="1">
      <c r="B427" s="155"/>
      <c r="C427" s="2"/>
      <c r="D427" s="2"/>
    </row>
    <row r="428" spans="2:4" ht="16.5" customHeight="1">
      <c r="B428" s="155"/>
      <c r="C428" s="2"/>
      <c r="D428" s="2"/>
    </row>
    <row r="429" spans="2:4" ht="16.5" customHeight="1">
      <c r="B429" s="155"/>
      <c r="C429" s="2"/>
      <c r="D429" s="2"/>
    </row>
    <row r="430" spans="2:4" ht="16.5" customHeight="1">
      <c r="B430" s="155"/>
      <c r="C430" s="2"/>
      <c r="D430" s="2"/>
    </row>
    <row r="431" spans="2:4" ht="16.5" customHeight="1">
      <c r="B431" s="155"/>
      <c r="C431" s="2"/>
      <c r="D431" s="2"/>
    </row>
    <row r="432" spans="2:4" ht="16.5" customHeight="1">
      <c r="B432" s="155"/>
      <c r="C432" s="2"/>
      <c r="D432" s="2"/>
    </row>
    <row r="433" spans="2:4" ht="16.5" customHeight="1">
      <c r="B433" s="155"/>
      <c r="C433" s="2"/>
      <c r="D433" s="2"/>
    </row>
    <row r="434" spans="2:4" ht="16.5" customHeight="1">
      <c r="B434" s="155"/>
      <c r="C434" s="2"/>
      <c r="D434" s="2"/>
    </row>
    <row r="435" spans="2:4" ht="16.5" customHeight="1">
      <c r="B435" s="155"/>
      <c r="C435" s="2"/>
      <c r="D435" s="2"/>
    </row>
    <row r="436" spans="2:4" ht="16.5" customHeight="1">
      <c r="B436" s="155"/>
      <c r="C436" s="2"/>
      <c r="D436" s="2"/>
    </row>
    <row r="437" spans="2:4" ht="16.5" customHeight="1">
      <c r="B437" s="155"/>
      <c r="C437" s="2"/>
      <c r="D437" s="2"/>
    </row>
    <row r="438" spans="2:4" ht="16.5" customHeight="1">
      <c r="B438" s="155"/>
      <c r="C438" s="2"/>
      <c r="D438" s="2"/>
    </row>
    <row r="439" spans="2:4" ht="16.5" customHeight="1">
      <c r="B439" s="155"/>
      <c r="C439" s="2"/>
      <c r="D439" s="2"/>
    </row>
    <row r="440" spans="2:4" ht="16.5" customHeight="1">
      <c r="B440" s="155"/>
      <c r="C440" s="2"/>
      <c r="D440" s="2"/>
    </row>
    <row r="441" spans="2:4" ht="16.5" customHeight="1">
      <c r="B441" s="155"/>
      <c r="C441" s="2"/>
      <c r="D441" s="2"/>
    </row>
    <row r="442" spans="2:4" ht="16.5" customHeight="1">
      <c r="B442" s="155"/>
      <c r="C442" s="2"/>
      <c r="D442" s="2"/>
    </row>
    <row r="443" spans="2:4" ht="16.5" customHeight="1">
      <c r="B443" s="155"/>
      <c r="C443" s="2"/>
      <c r="D443" s="2"/>
    </row>
    <row r="444" spans="2:4" ht="16.5" customHeight="1">
      <c r="B444" s="155"/>
      <c r="C444" s="2"/>
      <c r="D444" s="2"/>
    </row>
    <row r="445" spans="2:4" ht="16.5" customHeight="1">
      <c r="B445" s="155"/>
      <c r="C445" s="2"/>
      <c r="D445" s="2"/>
    </row>
    <row r="446" spans="2:4" ht="16.5" customHeight="1">
      <c r="B446" s="155"/>
      <c r="C446" s="2"/>
      <c r="D446" s="2"/>
    </row>
    <row r="447" spans="2:4" ht="16.5" customHeight="1">
      <c r="B447" s="155"/>
      <c r="C447" s="2"/>
      <c r="D447" s="2"/>
    </row>
    <row r="448" spans="2:4" ht="16.5" customHeight="1">
      <c r="B448" s="155"/>
      <c r="C448" s="2"/>
      <c r="D448" s="2"/>
    </row>
    <row r="449" spans="2:4" ht="16.5" customHeight="1">
      <c r="B449" s="155"/>
      <c r="C449" s="2"/>
      <c r="D449" s="2"/>
    </row>
    <row r="450" spans="2:4" ht="16.5" customHeight="1">
      <c r="B450" s="155"/>
      <c r="C450" s="2"/>
      <c r="D450" s="2"/>
    </row>
    <row r="451" spans="2:4" ht="16.5" customHeight="1">
      <c r="B451" s="155"/>
      <c r="C451" s="2"/>
      <c r="D451" s="2"/>
    </row>
    <row r="452" spans="2:4" ht="16.5" customHeight="1">
      <c r="B452" s="155"/>
      <c r="C452" s="2"/>
      <c r="D452" s="2"/>
    </row>
    <row r="453" spans="2:4" ht="16.5" customHeight="1">
      <c r="B453" s="155"/>
      <c r="C453" s="2"/>
      <c r="D453" s="2"/>
    </row>
    <row r="454" spans="2:4" ht="16.5" customHeight="1">
      <c r="B454" s="155"/>
      <c r="C454" s="2"/>
      <c r="D454" s="2"/>
    </row>
    <row r="455" spans="2:4" ht="16.5" customHeight="1">
      <c r="B455" s="155"/>
      <c r="C455" s="2"/>
      <c r="D455" s="2"/>
    </row>
    <row r="456" spans="2:4" ht="16.5" customHeight="1">
      <c r="B456" s="155"/>
      <c r="C456" s="2"/>
      <c r="D456" s="2"/>
    </row>
    <row r="457" spans="2:4" ht="16.5" customHeight="1">
      <c r="B457" s="155"/>
      <c r="C457" s="2"/>
      <c r="D457" s="2"/>
    </row>
    <row r="458" spans="2:4" ht="16.5" customHeight="1">
      <c r="B458" s="155"/>
      <c r="C458" s="2"/>
      <c r="D458" s="2"/>
    </row>
    <row r="459" spans="2:4" ht="16.5" customHeight="1">
      <c r="B459" s="155"/>
      <c r="C459" s="2"/>
      <c r="D459" s="2"/>
    </row>
    <row r="460" spans="2:4" ht="16.5" customHeight="1">
      <c r="B460" s="155"/>
      <c r="C460" s="2"/>
      <c r="D460" s="2"/>
    </row>
    <row r="461" spans="2:4" ht="16.5" customHeight="1">
      <c r="B461" s="155"/>
      <c r="C461" s="2"/>
      <c r="D461" s="2"/>
    </row>
    <row r="462" spans="2:4" ht="16.5" customHeight="1">
      <c r="B462" s="155"/>
      <c r="C462" s="2"/>
      <c r="D462" s="2"/>
    </row>
    <row r="463" spans="2:4" ht="16.5" customHeight="1">
      <c r="B463" s="155"/>
      <c r="C463" s="2"/>
      <c r="D463" s="2"/>
    </row>
    <row r="464" spans="2:4" ht="16.5" customHeight="1">
      <c r="B464" s="155"/>
      <c r="C464" s="2"/>
      <c r="D464" s="2"/>
    </row>
    <row r="465" spans="2:4" ht="16.5" customHeight="1">
      <c r="B465" s="155"/>
      <c r="C465" s="2"/>
      <c r="D465" s="2"/>
    </row>
    <row r="466" spans="2:4" ht="16.5" customHeight="1">
      <c r="B466" s="155"/>
      <c r="C466" s="2"/>
      <c r="D466" s="2"/>
    </row>
    <row r="467" spans="2:4" ht="16.5" customHeight="1">
      <c r="B467" s="155"/>
      <c r="C467" s="2"/>
      <c r="D467" s="2"/>
    </row>
    <row r="468" spans="2:4" ht="16.5" customHeight="1">
      <c r="B468" s="155"/>
      <c r="C468" s="2"/>
      <c r="D468" s="2"/>
    </row>
    <row r="469" spans="2:4" ht="16.5" customHeight="1">
      <c r="B469" s="155"/>
      <c r="C469" s="2"/>
      <c r="D469" s="2"/>
    </row>
    <row r="470" spans="2:4" ht="16.5" customHeight="1">
      <c r="B470" s="155"/>
      <c r="C470" s="2"/>
      <c r="D470" s="2"/>
    </row>
    <row r="471" spans="2:4" ht="16.5" customHeight="1">
      <c r="B471" s="155"/>
      <c r="C471" s="2"/>
      <c r="D471" s="2"/>
    </row>
    <row r="472" spans="2:4" ht="16.5" customHeight="1">
      <c r="B472" s="155"/>
      <c r="C472" s="2"/>
      <c r="D472" s="2"/>
    </row>
    <row r="473" spans="2:4" ht="16.5" customHeight="1">
      <c r="B473" s="155"/>
      <c r="C473" s="2"/>
      <c r="D473" s="2"/>
    </row>
    <row r="474" spans="2:4" ht="16.5" customHeight="1">
      <c r="B474" s="155"/>
      <c r="C474" s="2"/>
      <c r="D474" s="2"/>
    </row>
    <row r="475" spans="2:4" ht="16.5" customHeight="1">
      <c r="B475" s="155"/>
      <c r="C475" s="2"/>
      <c r="D475" s="2"/>
    </row>
    <row r="476" spans="2:4" ht="16.5" customHeight="1">
      <c r="B476" s="155"/>
      <c r="C476" s="2"/>
      <c r="D476" s="2"/>
    </row>
    <row r="477" spans="2:4" ht="16.5" customHeight="1">
      <c r="B477" s="155"/>
      <c r="C477" s="2"/>
      <c r="D477" s="2"/>
    </row>
    <row r="478" spans="2:4" ht="16.5" customHeight="1">
      <c r="B478" s="155"/>
      <c r="C478" s="2"/>
      <c r="D478" s="2"/>
    </row>
    <row r="479" spans="2:4" ht="16.5" customHeight="1">
      <c r="B479" s="155"/>
      <c r="C479" s="2"/>
      <c r="D479" s="2"/>
    </row>
    <row r="480" spans="2:4" ht="16.5" customHeight="1">
      <c r="B480" s="155"/>
      <c r="C480" s="2"/>
      <c r="D480" s="2"/>
    </row>
    <row r="481" spans="2:4" ht="16.5" customHeight="1">
      <c r="B481" s="155"/>
      <c r="C481" s="2"/>
      <c r="D481" s="2"/>
    </row>
    <row r="482" spans="2:4" ht="16.5" customHeight="1">
      <c r="B482" s="155"/>
      <c r="C482" s="2"/>
      <c r="D482" s="2"/>
    </row>
    <row r="483" spans="2:4" ht="16.5" customHeight="1">
      <c r="B483" s="155"/>
      <c r="C483" s="2"/>
      <c r="D483" s="2"/>
    </row>
    <row r="484" spans="2:4" ht="16.5" customHeight="1">
      <c r="B484" s="155"/>
      <c r="C484" s="2"/>
      <c r="D484" s="2"/>
    </row>
    <row r="485" spans="2:4" ht="16.5" customHeight="1">
      <c r="B485" s="155"/>
      <c r="C485" s="2"/>
      <c r="D485" s="2"/>
    </row>
    <row r="486" spans="2:4" ht="16.5" customHeight="1">
      <c r="B486" s="155"/>
      <c r="C486" s="2"/>
      <c r="D486" s="2"/>
    </row>
    <row r="487" spans="2:4" ht="16.5" customHeight="1">
      <c r="B487" s="155"/>
      <c r="C487" s="2"/>
      <c r="D487" s="2"/>
    </row>
    <row r="488" spans="2:4" ht="16.5" customHeight="1">
      <c r="B488" s="155"/>
      <c r="C488" s="2"/>
      <c r="D488" s="2"/>
    </row>
    <row r="489" spans="2:4" ht="16.5" customHeight="1">
      <c r="B489" s="155"/>
      <c r="C489" s="2"/>
      <c r="D489" s="2"/>
    </row>
    <row r="490" spans="2:4" ht="16.5" customHeight="1">
      <c r="B490" s="155"/>
      <c r="C490" s="2"/>
      <c r="D490" s="2"/>
    </row>
    <row r="491" spans="2:4" ht="16.5" customHeight="1">
      <c r="B491" s="155"/>
      <c r="C491" s="2"/>
      <c r="D491" s="2"/>
    </row>
    <row r="492" spans="2:4" ht="16.5" customHeight="1">
      <c r="B492" s="155"/>
      <c r="C492" s="2"/>
      <c r="D492" s="2"/>
    </row>
    <row r="493" spans="2:4" ht="16.5" customHeight="1">
      <c r="B493" s="155"/>
      <c r="C493" s="2"/>
      <c r="D493" s="2"/>
    </row>
    <row r="494" spans="2:4" ht="16.5" customHeight="1">
      <c r="B494" s="155"/>
      <c r="C494" s="2"/>
      <c r="D494" s="2"/>
    </row>
    <row r="495" spans="2:4" ht="16.5" customHeight="1">
      <c r="B495" s="155"/>
      <c r="C495" s="2"/>
      <c r="D495" s="2"/>
    </row>
    <row r="496" spans="2:4" ht="16.5" customHeight="1">
      <c r="B496" s="155"/>
      <c r="C496" s="2"/>
      <c r="D496" s="2"/>
    </row>
    <row r="497" spans="2:4" ht="16.5" customHeight="1">
      <c r="B497" s="155"/>
      <c r="C497" s="2"/>
      <c r="D497" s="2"/>
    </row>
    <row r="498" spans="2:4" ht="16.5" customHeight="1">
      <c r="B498" s="155"/>
      <c r="C498" s="2"/>
      <c r="D498" s="2"/>
    </row>
    <row r="499" spans="2:4" ht="16.5" customHeight="1">
      <c r="B499" s="155"/>
      <c r="C499" s="2"/>
      <c r="D499" s="2"/>
    </row>
    <row r="500" spans="2:4" ht="16.5" customHeight="1">
      <c r="B500" s="155"/>
      <c r="C500" s="2"/>
      <c r="D500" s="2"/>
    </row>
    <row r="501" spans="2:4" ht="16.5" customHeight="1">
      <c r="B501" s="155"/>
      <c r="C501" s="2"/>
      <c r="D501" s="2"/>
    </row>
    <row r="502" spans="2:4" ht="16.5" customHeight="1">
      <c r="B502" s="155"/>
      <c r="C502" s="2"/>
      <c r="D502" s="2"/>
    </row>
    <row r="503" spans="2:4" ht="16.5" customHeight="1">
      <c r="B503" s="155"/>
      <c r="C503" s="2"/>
      <c r="D503" s="2"/>
    </row>
    <row r="504" spans="2:4" ht="16.5" customHeight="1">
      <c r="B504" s="155"/>
      <c r="C504" s="2"/>
      <c r="D504" s="2"/>
    </row>
    <row r="505" spans="2:4" ht="16.5" customHeight="1">
      <c r="B505" s="155"/>
      <c r="C505" s="2"/>
      <c r="D505" s="2"/>
    </row>
    <row r="506" spans="2:4" ht="16.5" customHeight="1">
      <c r="B506" s="155"/>
      <c r="C506" s="2"/>
      <c r="D506" s="2"/>
    </row>
    <row r="507" spans="2:4" ht="16.5" customHeight="1">
      <c r="B507" s="155"/>
      <c r="C507" s="2"/>
      <c r="D507" s="2"/>
    </row>
    <row r="508" spans="2:4" ht="16.5" customHeight="1">
      <c r="B508" s="155"/>
      <c r="C508" s="2"/>
      <c r="D508" s="2"/>
    </row>
    <row r="509" spans="2:4" ht="16.5" customHeight="1">
      <c r="B509" s="155"/>
      <c r="C509" s="2"/>
      <c r="D509" s="2"/>
    </row>
    <row r="510" spans="2:4" ht="16.5" customHeight="1">
      <c r="B510" s="155"/>
      <c r="C510" s="2"/>
      <c r="D510" s="2"/>
    </row>
    <row r="511" spans="2:4" ht="16.5" customHeight="1">
      <c r="B511" s="155"/>
      <c r="C511" s="2"/>
      <c r="D511" s="2"/>
    </row>
    <row r="512" spans="2:4" ht="16.5" customHeight="1">
      <c r="B512" s="155"/>
      <c r="C512" s="2"/>
      <c r="D512" s="2"/>
    </row>
    <row r="513" spans="2:4" ht="16.5" customHeight="1">
      <c r="B513" s="155"/>
      <c r="C513" s="2"/>
      <c r="D513" s="2"/>
    </row>
    <row r="514" spans="2:4" ht="16.5" customHeight="1">
      <c r="B514" s="155"/>
      <c r="C514" s="2"/>
      <c r="D514" s="2"/>
    </row>
    <row r="515" spans="2:4" ht="16.5" customHeight="1">
      <c r="B515" s="155"/>
      <c r="C515" s="2"/>
      <c r="D515" s="2"/>
    </row>
    <row r="516" spans="2:4" ht="16.5" customHeight="1">
      <c r="B516" s="155"/>
      <c r="C516" s="2"/>
      <c r="D516" s="2"/>
    </row>
    <row r="517" spans="2:4" ht="16.5" customHeight="1">
      <c r="B517" s="155"/>
      <c r="C517" s="2"/>
      <c r="D517" s="2"/>
    </row>
    <row r="518" spans="2:4" ht="16.5" customHeight="1">
      <c r="B518" s="155"/>
      <c r="C518" s="2"/>
      <c r="D518" s="2"/>
    </row>
    <row r="519" spans="2:4" ht="16.5" customHeight="1">
      <c r="B519" s="155"/>
      <c r="C519" s="2"/>
      <c r="D519" s="2"/>
    </row>
    <row r="520" spans="2:4" ht="16.5" customHeight="1">
      <c r="B520" s="155"/>
      <c r="C520" s="2"/>
      <c r="D520" s="2"/>
    </row>
    <row r="521" spans="2:4" ht="16.5" customHeight="1">
      <c r="B521" s="155"/>
      <c r="C521" s="2"/>
      <c r="D521" s="2"/>
    </row>
    <row r="522" spans="2:4" ht="16.5" customHeight="1">
      <c r="B522" s="155"/>
      <c r="C522" s="2"/>
      <c r="D522" s="2"/>
    </row>
    <row r="523" spans="2:4" ht="16.5" customHeight="1">
      <c r="B523" s="155"/>
      <c r="C523" s="2"/>
      <c r="D523" s="2"/>
    </row>
    <row r="524" spans="2:4" ht="16.5" customHeight="1">
      <c r="B524" s="155"/>
      <c r="C524" s="2"/>
      <c r="D524" s="2"/>
    </row>
    <row r="525" spans="2:4" ht="16.5" customHeight="1">
      <c r="B525" s="155"/>
      <c r="C525" s="2"/>
      <c r="D525" s="2"/>
    </row>
    <row r="526" spans="2:4" ht="16.5" customHeight="1">
      <c r="B526" s="155"/>
      <c r="C526" s="2"/>
      <c r="D526" s="2"/>
    </row>
    <row r="527" spans="2:4" ht="16.5" customHeight="1">
      <c r="B527" s="155"/>
      <c r="C527" s="2"/>
      <c r="D527" s="2"/>
    </row>
    <row r="528" spans="2:4" ht="16.5" customHeight="1">
      <c r="B528" s="155"/>
      <c r="C528" s="2"/>
      <c r="D528" s="2"/>
    </row>
    <row r="529" spans="2:4" ht="16.5" customHeight="1">
      <c r="B529" s="155"/>
      <c r="C529" s="2"/>
      <c r="D529" s="2"/>
    </row>
    <row r="530" spans="2:4" ht="16.5" customHeight="1">
      <c r="B530" s="155"/>
      <c r="C530" s="2"/>
      <c r="D530" s="2"/>
    </row>
    <row r="531" spans="2:4" ht="16.5" customHeight="1">
      <c r="B531" s="155"/>
      <c r="C531" s="2"/>
      <c r="D531" s="2"/>
    </row>
    <row r="532" spans="2:4" ht="16.5" customHeight="1">
      <c r="B532" s="155"/>
      <c r="C532" s="2"/>
      <c r="D532" s="2"/>
    </row>
    <row r="533" spans="2:4" ht="16.5" customHeight="1">
      <c r="B533" s="155"/>
      <c r="C533" s="2"/>
      <c r="D533" s="2"/>
    </row>
    <row r="534" spans="2:4" ht="16.5" customHeight="1">
      <c r="B534" s="155"/>
      <c r="C534" s="2"/>
      <c r="D534" s="2"/>
    </row>
    <row r="535" spans="2:4" ht="16.5" customHeight="1">
      <c r="B535" s="155"/>
      <c r="C535" s="2"/>
      <c r="D535" s="2"/>
    </row>
    <row r="536" spans="2:4" ht="16.5" customHeight="1">
      <c r="B536" s="155"/>
      <c r="C536" s="2"/>
      <c r="D536" s="2"/>
    </row>
    <row r="537" spans="2:4" ht="16.5" customHeight="1">
      <c r="B537" s="155"/>
      <c r="C537" s="2"/>
      <c r="D537" s="2"/>
    </row>
    <row r="538" spans="2:4" ht="16.5" customHeight="1">
      <c r="B538" s="155"/>
      <c r="C538" s="2"/>
      <c r="D538" s="2"/>
    </row>
    <row r="539" spans="2:4" ht="16.5" customHeight="1">
      <c r="B539" s="155"/>
      <c r="C539" s="2"/>
      <c r="D539" s="2"/>
    </row>
    <row r="540" spans="2:4" ht="16.5" customHeight="1">
      <c r="B540" s="155"/>
      <c r="C540" s="2"/>
      <c r="D540" s="2"/>
    </row>
    <row r="541" spans="2:4" ht="16.5" customHeight="1">
      <c r="B541" s="155"/>
      <c r="C541" s="2"/>
      <c r="D541" s="2"/>
    </row>
    <row r="542" spans="2:4" ht="16.5" customHeight="1">
      <c r="B542" s="155"/>
      <c r="C542" s="2"/>
      <c r="D542" s="2"/>
    </row>
    <row r="543" spans="2:4" ht="16.5" customHeight="1">
      <c r="B543" s="155"/>
      <c r="C543" s="2"/>
      <c r="D543" s="2"/>
    </row>
    <row r="544" spans="2:4" ht="16.5" customHeight="1">
      <c r="B544" s="155"/>
      <c r="C544" s="2"/>
      <c r="D544" s="2"/>
    </row>
    <row r="545" spans="2:4" ht="16.5" customHeight="1">
      <c r="B545" s="155"/>
      <c r="C545" s="2"/>
      <c r="D545" s="2"/>
    </row>
    <row r="546" spans="2:4" ht="16.5" customHeight="1">
      <c r="B546" s="155"/>
      <c r="C546" s="2"/>
      <c r="D546" s="2"/>
    </row>
    <row r="547" spans="2:4" ht="16.5" customHeight="1">
      <c r="B547" s="155"/>
      <c r="C547" s="2"/>
      <c r="D547" s="2"/>
    </row>
    <row r="548" spans="2:4" ht="16.5" customHeight="1">
      <c r="B548" s="155"/>
      <c r="C548" s="2"/>
      <c r="D548" s="2"/>
    </row>
    <row r="549" spans="2:4" ht="16.5" customHeight="1">
      <c r="B549" s="155"/>
      <c r="C549" s="2"/>
      <c r="D549" s="2"/>
    </row>
    <row r="550" spans="2:4" ht="16.5" customHeight="1">
      <c r="B550" s="155"/>
      <c r="C550" s="2"/>
      <c r="D550" s="2"/>
    </row>
    <row r="551" spans="2:4" ht="16.5" customHeight="1">
      <c r="B551" s="155"/>
      <c r="C551" s="2"/>
      <c r="D551" s="2"/>
    </row>
    <row r="552" spans="2:4" ht="16.5" customHeight="1">
      <c r="B552" s="155"/>
      <c r="C552" s="2"/>
      <c r="D552" s="2"/>
    </row>
    <row r="553" spans="2:4" ht="16.5" customHeight="1">
      <c r="B553" s="155"/>
      <c r="C553" s="2"/>
      <c r="D553" s="2"/>
    </row>
    <row r="554" spans="2:4" ht="16.5" customHeight="1">
      <c r="B554" s="155"/>
      <c r="C554" s="2"/>
      <c r="D554" s="2"/>
    </row>
    <row r="555" spans="2:4" ht="16.5" customHeight="1">
      <c r="B555" s="155"/>
      <c r="C555" s="2"/>
      <c r="D555" s="2"/>
    </row>
    <row r="556" spans="2:4" ht="16.5" customHeight="1">
      <c r="B556" s="155"/>
      <c r="C556" s="2"/>
      <c r="D556" s="2"/>
    </row>
    <row r="557" spans="2:4" ht="16.5" customHeight="1">
      <c r="B557" s="155"/>
      <c r="C557" s="2"/>
      <c r="D557" s="2"/>
    </row>
    <row r="558" spans="2:4" ht="16.5" customHeight="1">
      <c r="B558" s="155"/>
      <c r="C558" s="2"/>
      <c r="D558" s="2"/>
    </row>
    <row r="559" spans="2:4" ht="16.5" customHeight="1">
      <c r="B559" s="155"/>
      <c r="C559" s="2"/>
      <c r="D559" s="2"/>
    </row>
    <row r="560" spans="2:4" ht="16.5" customHeight="1">
      <c r="B560" s="155"/>
      <c r="C560" s="2"/>
      <c r="D560" s="2"/>
    </row>
    <row r="561" spans="2:4" ht="16.5" customHeight="1">
      <c r="B561" s="155"/>
      <c r="C561" s="2"/>
      <c r="D561" s="2"/>
    </row>
    <row r="562" spans="2:4" ht="16.5" customHeight="1">
      <c r="B562" s="155"/>
      <c r="C562" s="2"/>
      <c r="D562" s="2"/>
    </row>
    <row r="563" spans="2:4" ht="16.5" customHeight="1">
      <c r="B563" s="155"/>
      <c r="C563" s="2"/>
      <c r="D563" s="2"/>
    </row>
    <row r="564" spans="2:4" ht="16.5" customHeight="1">
      <c r="B564" s="155"/>
      <c r="C564" s="2"/>
      <c r="D564" s="2"/>
    </row>
    <row r="565" spans="2:4" ht="16.5" customHeight="1">
      <c r="B565" s="155"/>
      <c r="C565" s="2"/>
      <c r="D565" s="2"/>
    </row>
    <row r="566" spans="2:4" ht="16.5" customHeight="1">
      <c r="B566" s="155"/>
      <c r="C566" s="2"/>
      <c r="D566" s="2"/>
    </row>
    <row r="567" spans="2:4" ht="16.5" customHeight="1">
      <c r="B567" s="155"/>
      <c r="C567" s="11"/>
      <c r="D567" s="2"/>
    </row>
    <row r="568" spans="2:4" ht="16.5" customHeight="1">
      <c r="B568" s="155"/>
      <c r="C568" s="11"/>
      <c r="D568" s="2"/>
    </row>
    <row r="569" spans="2:4" ht="16.5" customHeight="1">
      <c r="B569" s="155"/>
      <c r="C569" s="11"/>
      <c r="D569" s="2"/>
    </row>
    <row r="570" spans="2:4" ht="16.5" customHeight="1">
      <c r="B570" s="155"/>
      <c r="C570" s="11"/>
      <c r="D570" s="2"/>
    </row>
    <row r="571" spans="2:4" ht="16.5" customHeight="1">
      <c r="B571" s="155"/>
      <c r="C571" s="11"/>
      <c r="D571" s="2"/>
    </row>
    <row r="572" spans="2:4" ht="16.5" customHeight="1">
      <c r="B572" s="155"/>
      <c r="C572" s="11"/>
      <c r="D572" s="2"/>
    </row>
    <row r="573" spans="2:4" ht="16.5" customHeight="1">
      <c r="B573" s="155"/>
      <c r="C573" s="11"/>
      <c r="D573" s="2"/>
    </row>
    <row r="574" spans="2:4" ht="16.5" customHeight="1">
      <c r="B574" s="155"/>
      <c r="C574" s="11"/>
      <c r="D574" s="2"/>
    </row>
    <row r="575" spans="2:4" ht="16.5" customHeight="1">
      <c r="B575" s="155"/>
      <c r="C575" s="11"/>
      <c r="D575" s="2"/>
    </row>
    <row r="576" spans="2:4" ht="16.5" customHeight="1">
      <c r="B576" s="155"/>
      <c r="C576" s="11"/>
      <c r="D576" s="2"/>
    </row>
    <row r="577" spans="2:4" ht="16.5" customHeight="1">
      <c r="B577" s="155"/>
      <c r="C577" s="11"/>
      <c r="D577" s="2"/>
    </row>
    <row r="578" spans="2:4" ht="16.5" customHeight="1">
      <c r="B578" s="155"/>
      <c r="C578" s="11"/>
      <c r="D578" s="2"/>
    </row>
    <row r="579" spans="2:4" ht="16.5" customHeight="1">
      <c r="B579" s="155"/>
      <c r="C579" s="11"/>
      <c r="D579" s="2"/>
    </row>
    <row r="580" spans="2:4" ht="16.5" customHeight="1">
      <c r="B580" s="155"/>
      <c r="C580" s="11"/>
      <c r="D580" s="2"/>
    </row>
    <row r="581" spans="2:4" ht="16.5" customHeight="1">
      <c r="B581" s="155"/>
      <c r="C581" s="11"/>
      <c r="D581" s="2"/>
    </row>
    <row r="582" spans="2:4" ht="16.5" customHeight="1">
      <c r="B582" s="155"/>
      <c r="C582" s="11"/>
      <c r="D582" s="2"/>
    </row>
    <row r="583" spans="2:4" ht="16.5" customHeight="1">
      <c r="B583" s="155"/>
      <c r="C583" s="11"/>
      <c r="D583" s="2"/>
    </row>
    <row r="584" spans="2:4" ht="16.5" customHeight="1">
      <c r="B584" s="155"/>
      <c r="C584" s="11"/>
      <c r="D584" s="2"/>
    </row>
    <row r="585" spans="2:4" ht="16.5" customHeight="1">
      <c r="B585" s="155"/>
      <c r="C585" s="11"/>
      <c r="D585" s="2"/>
    </row>
    <row r="586" spans="2:4" ht="16.5" customHeight="1">
      <c r="B586" s="155"/>
      <c r="C586" s="11"/>
      <c r="D586" s="2"/>
    </row>
    <row r="587" spans="2:4" ht="16.5" customHeight="1">
      <c r="B587" s="155"/>
      <c r="C587" s="11"/>
      <c r="D587" s="2"/>
    </row>
    <row r="588" spans="2:4" ht="16.5" customHeight="1">
      <c r="B588" s="155"/>
      <c r="C588" s="11"/>
      <c r="D588" s="2"/>
    </row>
    <row r="589" spans="2:4" ht="16.5" customHeight="1">
      <c r="B589" s="155"/>
      <c r="C589" s="11"/>
      <c r="D589" s="2"/>
    </row>
    <row r="590" spans="2:4" ht="16.5" customHeight="1">
      <c r="B590" s="155"/>
      <c r="C590" s="11"/>
      <c r="D590" s="2"/>
    </row>
    <row r="591" spans="2:4" ht="16.5" customHeight="1">
      <c r="B591" s="155"/>
      <c r="C591" s="11"/>
      <c r="D591" s="2"/>
    </row>
    <row r="592" spans="2:4" ht="16.5" customHeight="1">
      <c r="B592" s="155"/>
      <c r="C592" s="11"/>
      <c r="D592" s="2"/>
    </row>
    <row r="593" spans="2:4" ht="16.5" customHeight="1">
      <c r="B593" s="155"/>
      <c r="C593" s="11"/>
      <c r="D593" s="2"/>
    </row>
    <row r="594" spans="2:4" ht="16.5" customHeight="1">
      <c r="B594" s="155"/>
      <c r="C594" s="11"/>
      <c r="D594" s="2"/>
    </row>
    <row r="595" spans="2:4" ht="16.5" customHeight="1">
      <c r="B595" s="155"/>
      <c r="C595" s="11"/>
      <c r="D595" s="2"/>
    </row>
    <row r="596" spans="2:4" ht="16.5" customHeight="1">
      <c r="B596" s="155"/>
      <c r="C596" s="11"/>
      <c r="D596" s="2"/>
    </row>
    <row r="597" spans="2:4" ht="16.5" customHeight="1">
      <c r="B597" s="155"/>
      <c r="C597" s="11"/>
      <c r="D597" s="2"/>
    </row>
    <row r="598" spans="2:4" ht="16.5" customHeight="1">
      <c r="B598" s="155"/>
      <c r="C598" s="11"/>
      <c r="D598" s="2"/>
    </row>
    <row r="599" spans="2:4" ht="16.5" customHeight="1">
      <c r="B599" s="155"/>
      <c r="C599" s="11"/>
      <c r="D599" s="2"/>
    </row>
    <row r="600" spans="2:4" ht="16.5" customHeight="1">
      <c r="B600" s="155"/>
      <c r="C600" s="11"/>
      <c r="D600" s="2"/>
    </row>
    <row r="601" spans="2:4" ht="16.5" customHeight="1">
      <c r="B601" s="155"/>
      <c r="C601" s="11"/>
      <c r="D601" s="2"/>
    </row>
    <row r="602" spans="2:4" ht="16.5" customHeight="1">
      <c r="B602" s="155"/>
      <c r="C602" s="11"/>
      <c r="D602" s="2"/>
    </row>
    <row r="603" spans="2:4" ht="16.5" customHeight="1">
      <c r="B603" s="155"/>
      <c r="C603" s="11"/>
      <c r="D603" s="2"/>
    </row>
    <row r="604" spans="2:4" ht="16.5" customHeight="1">
      <c r="B604" s="155"/>
      <c r="C604" s="11"/>
      <c r="D604" s="2"/>
    </row>
    <row r="605" spans="2:4" ht="16.5" customHeight="1">
      <c r="B605" s="155"/>
      <c r="C605" s="11"/>
      <c r="D605" s="2"/>
    </row>
    <row r="606" spans="2:4" ht="16.5" customHeight="1">
      <c r="B606" s="155"/>
      <c r="C606" s="11"/>
      <c r="D606" s="2"/>
    </row>
    <row r="607" spans="2:4" ht="16.5" customHeight="1">
      <c r="B607" s="155"/>
      <c r="C607" s="11"/>
      <c r="D607" s="2"/>
    </row>
    <row r="608" spans="2:4" ht="16.5" customHeight="1">
      <c r="B608" s="155"/>
      <c r="C608" s="11"/>
      <c r="D608" s="2"/>
    </row>
    <row r="609" spans="2:4" ht="16.5" customHeight="1">
      <c r="B609" s="155"/>
      <c r="C609" s="11"/>
      <c r="D609" s="2"/>
    </row>
    <row r="610" spans="2:4" ht="16.5" customHeight="1">
      <c r="B610" s="155"/>
      <c r="C610" s="11"/>
      <c r="D610" s="2"/>
    </row>
    <row r="611" spans="2:4" ht="16.5" customHeight="1">
      <c r="B611" s="155"/>
      <c r="C611" s="11"/>
      <c r="D611" s="2"/>
    </row>
    <row r="612" spans="2:4" ht="16.5" customHeight="1">
      <c r="B612" s="155"/>
      <c r="C612" s="11"/>
      <c r="D612" s="2"/>
    </row>
    <row r="613" spans="2:4" ht="16.5" customHeight="1">
      <c r="B613" s="155"/>
      <c r="C613" s="11"/>
      <c r="D613" s="2"/>
    </row>
    <row r="614" spans="2:4" ht="16.5" customHeight="1">
      <c r="B614" s="155"/>
      <c r="C614" s="11"/>
      <c r="D614" s="2"/>
    </row>
    <row r="615" spans="2:4" ht="16.5" customHeight="1">
      <c r="B615" s="155"/>
      <c r="C615" s="11"/>
      <c r="D615" s="2"/>
    </row>
    <row r="616" spans="2:4" ht="16.5" customHeight="1">
      <c r="B616" s="155"/>
      <c r="C616" s="11"/>
      <c r="D616" s="2"/>
    </row>
    <row r="617" spans="2:4" ht="16.5" customHeight="1">
      <c r="B617" s="155"/>
      <c r="C617" s="11"/>
      <c r="D617" s="2"/>
    </row>
    <row r="618" spans="2:4" ht="16.5" customHeight="1">
      <c r="B618" s="155"/>
      <c r="C618" s="11"/>
      <c r="D618" s="2"/>
    </row>
    <row r="619" spans="2:4" ht="16.5" customHeight="1">
      <c r="B619" s="155"/>
      <c r="C619" s="11"/>
      <c r="D619" s="2"/>
    </row>
    <row r="620" spans="2:4" ht="16.5" customHeight="1">
      <c r="B620" s="155"/>
      <c r="C620" s="11"/>
      <c r="D620" s="2"/>
    </row>
    <row r="621" spans="2:4" ht="16.5" customHeight="1">
      <c r="B621" s="155"/>
      <c r="C621" s="11"/>
      <c r="D621" s="2"/>
    </row>
    <row r="622" spans="2:4" ht="16.5" customHeight="1">
      <c r="B622" s="155"/>
      <c r="C622" s="11"/>
      <c r="D622" s="2"/>
    </row>
    <row r="623" spans="2:4" ht="16.5" customHeight="1">
      <c r="B623" s="155"/>
      <c r="C623" s="11"/>
      <c r="D623" s="2"/>
    </row>
    <row r="624" spans="2:4" ht="16.5" customHeight="1">
      <c r="B624" s="155"/>
      <c r="C624" s="11"/>
      <c r="D624" s="2"/>
    </row>
    <row r="625" spans="2:4" ht="16.5" customHeight="1">
      <c r="B625" s="155"/>
      <c r="C625" s="11"/>
      <c r="D625" s="2"/>
    </row>
    <row r="626" spans="2:4" ht="16.5" customHeight="1">
      <c r="B626" s="155"/>
      <c r="C626" s="11"/>
      <c r="D626" s="2"/>
    </row>
    <row r="627" spans="2:4" ht="16.5" customHeight="1">
      <c r="B627" s="155"/>
      <c r="C627" s="11"/>
      <c r="D627" s="2"/>
    </row>
    <row r="628" spans="2:4" ht="16.5" customHeight="1">
      <c r="B628" s="155"/>
      <c r="C628" s="11"/>
      <c r="D628" s="2"/>
    </row>
    <row r="629" spans="2:4" ht="16.5" customHeight="1">
      <c r="B629" s="155"/>
      <c r="C629" s="11"/>
      <c r="D629" s="2"/>
    </row>
    <row r="630" spans="2:4" ht="16.5" customHeight="1">
      <c r="B630" s="155"/>
      <c r="C630" s="11"/>
      <c r="D630" s="2"/>
    </row>
    <row r="631" spans="2:4" ht="16.5" customHeight="1">
      <c r="B631" s="155"/>
      <c r="C631" s="11"/>
      <c r="D631" s="2"/>
    </row>
    <row r="632" spans="2:4" ht="16.5" customHeight="1">
      <c r="B632" s="155"/>
      <c r="C632" s="11"/>
      <c r="D632" s="2"/>
    </row>
    <row r="633" spans="2:4" ht="16.5" customHeight="1">
      <c r="B633" s="155"/>
      <c r="C633" s="11"/>
      <c r="D633" s="2"/>
    </row>
    <row r="634" spans="2:4" ht="16.5" customHeight="1">
      <c r="B634" s="155"/>
      <c r="C634" s="11"/>
      <c r="D634" s="2"/>
    </row>
    <row r="635" spans="2:4" ht="16.5" customHeight="1">
      <c r="B635" s="155"/>
      <c r="C635" s="11"/>
      <c r="D635" s="2"/>
    </row>
    <row r="636" spans="2:4" ht="16.5" customHeight="1">
      <c r="B636" s="155"/>
      <c r="C636" s="11"/>
      <c r="D636" s="2"/>
    </row>
    <row r="637" spans="2:4" ht="16.5" customHeight="1">
      <c r="B637" s="155"/>
      <c r="C637" s="11"/>
      <c r="D637" s="2"/>
    </row>
    <row r="638" spans="2:4" ht="16.5" customHeight="1">
      <c r="B638" s="155"/>
      <c r="C638" s="11"/>
      <c r="D638" s="2"/>
    </row>
    <row r="639" spans="2:4" ht="16.5" customHeight="1">
      <c r="B639" s="155"/>
      <c r="C639" s="11"/>
      <c r="D639" s="2"/>
    </row>
    <row r="640" spans="2:4" ht="16.5" customHeight="1">
      <c r="B640" s="155"/>
      <c r="C640" s="11"/>
      <c r="D640" s="2"/>
    </row>
    <row r="641" spans="2:4" ht="16.5" customHeight="1">
      <c r="B641" s="155"/>
      <c r="C641" s="11"/>
      <c r="D641" s="2"/>
    </row>
    <row r="642" spans="2:4" ht="16.5" customHeight="1">
      <c r="B642" s="155"/>
      <c r="C642" s="11"/>
      <c r="D642" s="2"/>
    </row>
    <row r="643" spans="2:4" ht="16.5" customHeight="1">
      <c r="B643" s="155"/>
      <c r="C643" s="11"/>
      <c r="D643" s="2"/>
    </row>
    <row r="644" spans="2:4" ht="16.5" customHeight="1">
      <c r="B644" s="155"/>
      <c r="C644" s="11"/>
      <c r="D644" s="2"/>
    </row>
    <row r="645" spans="2:4" ht="16.5" customHeight="1">
      <c r="B645" s="155"/>
      <c r="C645" s="11"/>
      <c r="D645" s="2"/>
    </row>
    <row r="646" spans="2:4" ht="16.5" customHeight="1">
      <c r="B646" s="155"/>
      <c r="C646" s="11"/>
      <c r="D646" s="2"/>
    </row>
    <row r="647" spans="2:4" ht="16.5" customHeight="1">
      <c r="B647" s="155"/>
      <c r="C647" s="11"/>
      <c r="D647" s="2"/>
    </row>
    <row r="648" spans="2:4" ht="16.5" customHeight="1">
      <c r="B648" s="155"/>
      <c r="C648" s="11"/>
      <c r="D648" s="2"/>
    </row>
    <row r="649" spans="2:4" ht="16.5" customHeight="1">
      <c r="B649" s="155"/>
      <c r="C649" s="11"/>
      <c r="D649" s="2"/>
    </row>
    <row r="650" spans="2:4" ht="16.5" customHeight="1">
      <c r="B650" s="155"/>
      <c r="C650" s="11"/>
      <c r="D650" s="2"/>
    </row>
    <row r="651" spans="2:4" ht="16.5" customHeight="1">
      <c r="B651" s="155"/>
      <c r="C651" s="11"/>
      <c r="D651" s="2"/>
    </row>
    <row r="652" spans="2:4" ht="16.5" customHeight="1">
      <c r="B652" s="155"/>
      <c r="C652" s="11"/>
      <c r="D652" s="2"/>
    </row>
    <row r="653" spans="2:4" ht="16.5" customHeight="1">
      <c r="B653" s="155"/>
      <c r="C653" s="11"/>
      <c r="D653" s="2"/>
    </row>
    <row r="654" spans="2:4" ht="16.5" customHeight="1">
      <c r="B654" s="155"/>
      <c r="C654" s="11"/>
      <c r="D654" s="2"/>
    </row>
    <row r="655" spans="2:4" ht="16.5" customHeight="1">
      <c r="B655" s="155"/>
      <c r="C655" s="11"/>
      <c r="D655" s="2"/>
    </row>
    <row r="656" spans="2:4" ht="16.5" customHeight="1">
      <c r="B656" s="155"/>
      <c r="C656" s="11"/>
      <c r="D656" s="2"/>
    </row>
    <row r="657" spans="2:4" ht="16.5" customHeight="1">
      <c r="B657" s="155"/>
      <c r="C657" s="11"/>
      <c r="D657" s="2"/>
    </row>
    <row r="658" spans="2:4" ht="16.5" customHeight="1">
      <c r="B658" s="155"/>
      <c r="C658" s="11"/>
      <c r="D658" s="2"/>
    </row>
    <row r="659" spans="2:4" ht="16.5" customHeight="1">
      <c r="B659" s="155"/>
      <c r="C659" s="11"/>
      <c r="D659" s="2"/>
    </row>
    <row r="660" spans="2:4" ht="16.5" customHeight="1">
      <c r="B660" s="155"/>
      <c r="C660" s="11"/>
      <c r="D660" s="2"/>
    </row>
    <row r="661" spans="1:4" ht="16.5" customHeight="1">
      <c r="A661" s="160"/>
      <c r="B661" s="160"/>
      <c r="C661" s="11"/>
      <c r="D661" s="2"/>
    </row>
    <row r="662" spans="1:4" ht="16.5" customHeight="1">
      <c r="A662" s="160"/>
      <c r="B662" s="160"/>
      <c r="C662" s="11"/>
      <c r="D662" s="2"/>
    </row>
    <row r="663" spans="1:4" ht="16.5" customHeight="1">
      <c r="A663" s="160"/>
      <c r="B663" s="160"/>
      <c r="C663" s="11"/>
      <c r="D663" s="2"/>
    </row>
    <row r="664" spans="1:4" ht="16.5" customHeight="1">
      <c r="A664" s="160"/>
      <c r="B664" s="160"/>
      <c r="C664" s="11"/>
      <c r="D664" s="2"/>
    </row>
    <row r="665" spans="1:4" ht="16.5" customHeight="1">
      <c r="A665" s="167"/>
      <c r="B665" s="167"/>
      <c r="C665" s="11"/>
      <c r="D665" s="2"/>
    </row>
    <row r="666" spans="1:4" ht="16.5" customHeight="1">
      <c r="A666" s="167"/>
      <c r="B666" s="167"/>
      <c r="C666" s="11"/>
      <c r="D666" s="2"/>
    </row>
    <row r="667" spans="1:4" ht="16.5" customHeight="1">
      <c r="A667" s="167"/>
      <c r="B667" s="167"/>
      <c r="C667" s="11"/>
      <c r="D667" s="2"/>
    </row>
    <row r="668" spans="1:4" ht="16.5" customHeight="1">
      <c r="A668" s="167"/>
      <c r="B668" s="167"/>
      <c r="C668" s="11"/>
      <c r="D668" s="2"/>
    </row>
    <row r="669" spans="1:4" ht="16.5" customHeight="1">
      <c r="A669" s="167"/>
      <c r="B669" s="167"/>
      <c r="C669" s="11"/>
      <c r="D669" s="2"/>
    </row>
    <row r="670" spans="1:4" ht="16.5" customHeight="1">
      <c r="A670" s="167"/>
      <c r="B670" s="167"/>
      <c r="C670" s="11"/>
      <c r="D670" s="2"/>
    </row>
    <row r="671" spans="1:4" ht="16.5" customHeight="1">
      <c r="A671" s="167"/>
      <c r="B671" s="167"/>
      <c r="C671" s="11"/>
      <c r="D671" s="2"/>
    </row>
    <row r="672" spans="1:4" ht="16.5" customHeight="1">
      <c r="A672" s="167"/>
      <c r="B672" s="167"/>
      <c r="C672" s="11"/>
      <c r="D672" s="2"/>
    </row>
    <row r="673" spans="1:4" ht="16.5" customHeight="1">
      <c r="A673" s="167"/>
      <c r="B673" s="167"/>
      <c r="C673" s="11"/>
      <c r="D673" s="2"/>
    </row>
    <row r="674" spans="1:4" ht="16.5" customHeight="1">
      <c r="A674" s="167"/>
      <c r="B674" s="167"/>
      <c r="C674" s="11"/>
      <c r="D674" s="2"/>
    </row>
    <row r="675" spans="1:4" ht="16.5" customHeight="1">
      <c r="A675" s="167"/>
      <c r="B675" s="167"/>
      <c r="C675" s="11"/>
      <c r="D675" s="2"/>
    </row>
    <row r="676" spans="1:4" ht="16.5" customHeight="1">
      <c r="A676" s="167"/>
      <c r="B676" s="167"/>
      <c r="C676" s="11"/>
      <c r="D676" s="2"/>
    </row>
    <row r="677" spans="1:4" ht="16.5" customHeight="1">
      <c r="A677" s="167"/>
      <c r="B677" s="167"/>
      <c r="C677" s="11"/>
      <c r="D677" s="2"/>
    </row>
    <row r="678" spans="1:4" ht="16.5" customHeight="1">
      <c r="A678" s="167"/>
      <c r="B678" s="167"/>
      <c r="C678" s="11"/>
      <c r="D678" s="2"/>
    </row>
    <row r="679" spans="1:4" ht="16.5" customHeight="1">
      <c r="A679" s="167"/>
      <c r="B679" s="167"/>
      <c r="C679" s="11"/>
      <c r="D679" s="2"/>
    </row>
    <row r="680" spans="1:4" ht="16.5" customHeight="1">
      <c r="A680" s="167"/>
      <c r="B680" s="167"/>
      <c r="C680" s="11"/>
      <c r="D680" s="2"/>
    </row>
    <row r="681" spans="1:4" ht="16.5" customHeight="1">
      <c r="A681" s="167"/>
      <c r="B681" s="167"/>
      <c r="C681" s="11"/>
      <c r="D681" s="2"/>
    </row>
    <row r="682" spans="1:4" ht="16.5" customHeight="1">
      <c r="A682" s="167"/>
      <c r="B682" s="167"/>
      <c r="C682" s="11"/>
      <c r="D682" s="2"/>
    </row>
    <row r="683" spans="1:4" ht="16.5" customHeight="1">
      <c r="A683" s="167"/>
      <c r="B683" s="167"/>
      <c r="C683" s="11"/>
      <c r="D683" s="2"/>
    </row>
    <row r="684" spans="1:4" ht="16.5" customHeight="1">
      <c r="A684" s="167"/>
      <c r="B684" s="167"/>
      <c r="C684" s="11"/>
      <c r="D684" s="2"/>
    </row>
    <row r="685" spans="1:4" ht="16.5" customHeight="1">
      <c r="A685" s="167"/>
      <c r="B685" s="167"/>
      <c r="C685" s="11"/>
      <c r="D685" s="2"/>
    </row>
    <row r="686" spans="1:4" ht="16.5" customHeight="1">
      <c r="A686" s="167"/>
      <c r="B686" s="169"/>
      <c r="C686" s="11"/>
      <c r="D686" s="2"/>
    </row>
    <row r="687" spans="1:4" ht="16.5" customHeight="1">
      <c r="A687" s="167"/>
      <c r="B687" s="170"/>
      <c r="C687" s="11"/>
      <c r="D687" s="2"/>
    </row>
    <row r="688" spans="1:4" ht="16.5" customHeight="1">
      <c r="A688" s="167"/>
      <c r="B688" s="167"/>
      <c r="C688" s="11"/>
      <c r="D688" s="2"/>
    </row>
    <row r="689" spans="1:4" ht="16.5" customHeight="1">
      <c r="A689" s="167"/>
      <c r="B689" s="167"/>
      <c r="C689" s="11"/>
      <c r="D689" s="2"/>
    </row>
    <row r="690" spans="1:4" ht="16.5" customHeight="1">
      <c r="A690" s="167"/>
      <c r="B690" s="167"/>
      <c r="C690" s="11"/>
      <c r="D690" s="2"/>
    </row>
    <row r="691" spans="1:4" ht="16.5" customHeight="1">
      <c r="A691" s="167"/>
      <c r="B691" s="167"/>
      <c r="C691" s="11"/>
      <c r="D691" s="2"/>
    </row>
    <row r="692" spans="1:4" ht="16.5" customHeight="1">
      <c r="A692" s="167"/>
      <c r="B692" s="167"/>
      <c r="C692" s="11"/>
      <c r="D692" s="2"/>
    </row>
    <row r="693" spans="1:4" ht="16.5" customHeight="1">
      <c r="A693" s="167"/>
      <c r="B693" s="167"/>
      <c r="C693" s="11"/>
      <c r="D693" s="2"/>
    </row>
    <row r="694" spans="1:4" ht="16.5" customHeight="1">
      <c r="A694" s="167"/>
      <c r="B694" s="167"/>
      <c r="C694" s="11"/>
      <c r="D694" s="2"/>
    </row>
    <row r="695" spans="1:4" ht="16.5" customHeight="1">
      <c r="A695" s="160"/>
      <c r="B695" s="160"/>
      <c r="C695" s="11"/>
      <c r="D695" s="2"/>
    </row>
    <row r="696" spans="1:4" ht="16.5" customHeight="1">
      <c r="A696" s="160"/>
      <c r="B696" s="160"/>
      <c r="C696" s="11"/>
      <c r="D696" s="2"/>
    </row>
    <row r="697" spans="1:4" ht="16.5" customHeight="1">
      <c r="A697" s="160"/>
      <c r="B697" s="160"/>
      <c r="C697" s="11"/>
      <c r="D697" s="2"/>
    </row>
    <row r="698" spans="1:4" ht="16.5" customHeight="1">
      <c r="A698" s="160"/>
      <c r="B698" s="160"/>
      <c r="C698" s="11"/>
      <c r="D698" s="2"/>
    </row>
    <row r="699" spans="1:4" ht="16.5" customHeight="1">
      <c r="A699" s="160"/>
      <c r="B699" s="160"/>
      <c r="C699" s="11"/>
      <c r="D699" s="2"/>
    </row>
    <row r="700" spans="1:4" ht="16.5" customHeight="1">
      <c r="A700" s="160"/>
      <c r="B700" s="160"/>
      <c r="C700" s="11"/>
      <c r="D700" s="2"/>
    </row>
    <row r="701" spans="2:4" ht="16.5" customHeight="1">
      <c r="B701" s="155"/>
      <c r="C701" s="11"/>
      <c r="D701" s="2"/>
    </row>
    <row r="702" spans="2:4" ht="16.5" customHeight="1">
      <c r="B702" s="155"/>
      <c r="C702" s="11"/>
      <c r="D702" s="2"/>
    </row>
    <row r="703" spans="2:4" ht="16.5" customHeight="1">
      <c r="B703" s="155"/>
      <c r="C703" s="11"/>
      <c r="D703" s="2"/>
    </row>
    <row r="704" spans="2:4" ht="16.5" customHeight="1">
      <c r="B704" s="155"/>
      <c r="C704" s="11"/>
      <c r="D704" s="2"/>
    </row>
    <row r="705" spans="2:4" ht="16.5" customHeight="1">
      <c r="B705" s="155"/>
      <c r="C705" s="11"/>
      <c r="D705" s="2"/>
    </row>
    <row r="706" spans="2:4" ht="16.5" customHeight="1">
      <c r="B706" s="155"/>
      <c r="C706" s="11"/>
      <c r="D706" s="2"/>
    </row>
    <row r="707" spans="2:4" ht="16.5" customHeight="1">
      <c r="B707" s="155"/>
      <c r="C707" s="11"/>
      <c r="D707" s="2"/>
    </row>
    <row r="708" spans="2:4" ht="16.5" customHeight="1">
      <c r="B708" s="155"/>
      <c r="C708" s="11"/>
      <c r="D708" s="2"/>
    </row>
    <row r="709" spans="2:4" ht="16.5" customHeight="1">
      <c r="B709" s="155"/>
      <c r="C709" s="11"/>
      <c r="D709" s="2"/>
    </row>
    <row r="710" spans="2:4" ht="16.5" customHeight="1">
      <c r="B710" s="155"/>
      <c r="C710" s="11"/>
      <c r="D710" s="2"/>
    </row>
    <row r="711" spans="2:4" ht="16.5" customHeight="1">
      <c r="B711" s="155"/>
      <c r="C711" s="11"/>
      <c r="D711" s="2"/>
    </row>
    <row r="712" spans="2:4" ht="16.5" customHeight="1">
      <c r="B712" s="155"/>
      <c r="C712" s="11"/>
      <c r="D712" s="2"/>
    </row>
    <row r="713" spans="2:4" ht="16.5" customHeight="1">
      <c r="B713" s="155"/>
      <c r="C713" s="11"/>
      <c r="D713" s="2"/>
    </row>
    <row r="714" spans="2:4" ht="16.5" customHeight="1">
      <c r="B714" s="155"/>
      <c r="C714" s="11"/>
      <c r="D714" s="2"/>
    </row>
    <row r="715" spans="2:4" ht="16.5" customHeight="1">
      <c r="B715" s="155"/>
      <c r="C715" s="11"/>
      <c r="D715" s="2"/>
    </row>
    <row r="716" spans="2:4" ht="16.5" customHeight="1">
      <c r="B716" s="155"/>
      <c r="C716" s="11"/>
      <c r="D716" s="2"/>
    </row>
    <row r="717" spans="2:4" ht="16.5" customHeight="1">
      <c r="B717" s="155"/>
      <c r="C717" s="11"/>
      <c r="D717" s="2"/>
    </row>
    <row r="718" spans="2:4" ht="16.5" customHeight="1">
      <c r="B718" s="155"/>
      <c r="C718" s="11"/>
      <c r="D718" s="2"/>
    </row>
    <row r="719" spans="2:4" ht="16.5" customHeight="1">
      <c r="B719" s="155"/>
      <c r="C719" s="11"/>
      <c r="D719" s="2"/>
    </row>
    <row r="720" spans="2:4" ht="16.5" customHeight="1">
      <c r="B720" s="155"/>
      <c r="C720" s="11"/>
      <c r="D720" s="2"/>
    </row>
    <row r="721" spans="2:4" ht="16.5" customHeight="1">
      <c r="B721" s="155"/>
      <c r="C721" s="11"/>
      <c r="D721" s="2"/>
    </row>
    <row r="722" spans="2:4" ht="16.5" customHeight="1">
      <c r="B722" s="155"/>
      <c r="C722" s="11"/>
      <c r="D722" s="2"/>
    </row>
    <row r="723" spans="2:4" ht="16.5" customHeight="1">
      <c r="B723" s="155"/>
      <c r="C723" s="11"/>
      <c r="D723" s="2"/>
    </row>
    <row r="724" spans="2:4" ht="16.5" customHeight="1">
      <c r="B724" s="155"/>
      <c r="C724" s="11"/>
      <c r="D724" s="2"/>
    </row>
    <row r="725" spans="2:4" ht="16.5" customHeight="1">
      <c r="B725" s="155"/>
      <c r="C725" s="11"/>
      <c r="D725" s="2"/>
    </row>
    <row r="726" spans="2:4" ht="16.5" customHeight="1">
      <c r="B726" s="155"/>
      <c r="C726" s="11"/>
      <c r="D726" s="2"/>
    </row>
    <row r="727" spans="2:4" ht="16.5" customHeight="1">
      <c r="B727" s="155"/>
      <c r="C727" s="11"/>
      <c r="D727" s="2"/>
    </row>
    <row r="728" spans="2:4" ht="16.5" customHeight="1">
      <c r="B728" s="155"/>
      <c r="C728" s="11"/>
      <c r="D728" s="2"/>
    </row>
    <row r="729" spans="2:4" ht="16.5" customHeight="1">
      <c r="B729" s="155"/>
      <c r="C729" s="11"/>
      <c r="D729" s="2"/>
    </row>
    <row r="730" spans="2:4" ht="16.5" customHeight="1">
      <c r="B730" s="155"/>
      <c r="C730" s="11"/>
      <c r="D730" s="2"/>
    </row>
    <row r="731" spans="2:4" ht="16.5" customHeight="1">
      <c r="B731" s="155"/>
      <c r="C731" s="11"/>
      <c r="D731" s="2"/>
    </row>
    <row r="732" spans="2:4" ht="16.5" customHeight="1">
      <c r="B732" s="155"/>
      <c r="C732" s="11"/>
      <c r="D732" s="2"/>
    </row>
    <row r="733" spans="2:4" ht="16.5" customHeight="1">
      <c r="B733" s="155"/>
      <c r="C733" s="11"/>
      <c r="D733" s="2"/>
    </row>
    <row r="734" spans="2:4" ht="16.5" customHeight="1">
      <c r="B734" s="155"/>
      <c r="C734" s="11"/>
      <c r="D734" s="2"/>
    </row>
    <row r="735" spans="2:4" ht="16.5" customHeight="1">
      <c r="B735" s="155"/>
      <c r="C735" s="11"/>
      <c r="D735" s="2"/>
    </row>
    <row r="736" spans="2:4" ht="16.5" customHeight="1">
      <c r="B736" s="155"/>
      <c r="C736" s="11"/>
      <c r="D736" s="2"/>
    </row>
    <row r="737" spans="2:4" ht="16.5" customHeight="1">
      <c r="B737" s="155"/>
      <c r="C737" s="11"/>
      <c r="D737" s="2"/>
    </row>
    <row r="738" spans="2:4" ht="16.5" customHeight="1">
      <c r="B738" s="155"/>
      <c r="C738" s="11"/>
      <c r="D738" s="2"/>
    </row>
    <row r="739" spans="2:4" ht="16.5" customHeight="1">
      <c r="B739" s="155"/>
      <c r="C739" s="11"/>
      <c r="D739" s="2"/>
    </row>
    <row r="740" spans="2:4" ht="16.5" customHeight="1">
      <c r="B740" s="155"/>
      <c r="C740" s="11"/>
      <c r="D740" s="2"/>
    </row>
    <row r="741" spans="2:4" ht="16.5" customHeight="1">
      <c r="B741" s="155"/>
      <c r="C741" s="11"/>
      <c r="D741" s="2"/>
    </row>
    <row r="742" spans="2:4" ht="16.5" customHeight="1">
      <c r="B742" s="155"/>
      <c r="C742" s="11"/>
      <c r="D742" s="2"/>
    </row>
    <row r="743" spans="2:4" ht="16.5" customHeight="1">
      <c r="B743" s="155"/>
      <c r="C743" s="11"/>
      <c r="D743" s="2"/>
    </row>
    <row r="744" spans="2:4" ht="16.5" customHeight="1">
      <c r="B744" s="155"/>
      <c r="C744" s="11"/>
      <c r="D744" s="2"/>
    </row>
    <row r="745" spans="2:4" ht="16.5" customHeight="1">
      <c r="B745" s="155"/>
      <c r="C745" s="11"/>
      <c r="D745" s="2"/>
    </row>
    <row r="746" spans="2:4" ht="16.5" customHeight="1">
      <c r="B746" s="155"/>
      <c r="C746" s="11"/>
      <c r="D746" s="2"/>
    </row>
    <row r="747" spans="2:4" ht="16.5" customHeight="1">
      <c r="B747" s="155"/>
      <c r="C747" s="11"/>
      <c r="D747" s="2"/>
    </row>
    <row r="748" spans="2:4" ht="16.5" customHeight="1">
      <c r="B748" s="155"/>
      <c r="C748" s="11"/>
      <c r="D748" s="2"/>
    </row>
    <row r="749" spans="2:4" ht="16.5" customHeight="1">
      <c r="B749" s="155"/>
      <c r="C749" s="11"/>
      <c r="D749" s="2"/>
    </row>
    <row r="750" spans="2:4" ht="16.5" customHeight="1">
      <c r="B750" s="155"/>
      <c r="C750" s="11"/>
      <c r="D750" s="2"/>
    </row>
    <row r="751" spans="2:4" ht="16.5" customHeight="1">
      <c r="B751" s="155"/>
      <c r="C751" s="11"/>
      <c r="D751" s="2"/>
    </row>
    <row r="752" spans="2:4" ht="16.5" customHeight="1">
      <c r="B752" s="155"/>
      <c r="C752" s="11"/>
      <c r="D752" s="2"/>
    </row>
    <row r="753" spans="2:4" ht="16.5" customHeight="1">
      <c r="B753" s="155"/>
      <c r="C753" s="11"/>
      <c r="D753" s="2"/>
    </row>
    <row r="754" spans="2:4" ht="16.5" customHeight="1">
      <c r="B754" s="155"/>
      <c r="C754" s="11"/>
      <c r="D754" s="2"/>
    </row>
    <row r="755" spans="2:4" ht="16.5" customHeight="1">
      <c r="B755" s="155"/>
      <c r="C755" s="11"/>
      <c r="D755" s="2"/>
    </row>
    <row r="756" spans="2:4" ht="16.5" customHeight="1">
      <c r="B756" s="155"/>
      <c r="C756" s="11"/>
      <c r="D756" s="2"/>
    </row>
    <row r="757" spans="2:4" ht="16.5" customHeight="1">
      <c r="B757" s="155"/>
      <c r="C757" s="11"/>
      <c r="D757" s="2"/>
    </row>
    <row r="758" spans="2:4" ht="16.5" customHeight="1">
      <c r="B758" s="155"/>
      <c r="C758" s="11"/>
      <c r="D758" s="2"/>
    </row>
    <row r="759" spans="2:4" ht="16.5" customHeight="1">
      <c r="B759" s="155"/>
      <c r="C759" s="11"/>
      <c r="D759" s="2"/>
    </row>
    <row r="760" spans="2:4" ht="16.5" customHeight="1">
      <c r="B760" s="155"/>
      <c r="C760" s="11"/>
      <c r="D760" s="2"/>
    </row>
    <row r="761" spans="2:4" ht="16.5" customHeight="1">
      <c r="B761" s="155"/>
      <c r="C761" s="11"/>
      <c r="D761" s="2"/>
    </row>
    <row r="762" spans="2:4" ht="16.5" customHeight="1">
      <c r="B762" s="155"/>
      <c r="C762" s="11"/>
      <c r="D762" s="2"/>
    </row>
    <row r="763" spans="2:4" ht="16.5" customHeight="1">
      <c r="B763" s="155"/>
      <c r="C763" s="11"/>
      <c r="D763" s="2"/>
    </row>
    <row r="764" spans="2:4" ht="16.5" customHeight="1">
      <c r="B764" s="155"/>
      <c r="C764" s="11"/>
      <c r="D764" s="2"/>
    </row>
    <row r="765" spans="2:4" ht="16.5" customHeight="1">
      <c r="B765" s="155"/>
      <c r="C765" s="11"/>
      <c r="D765" s="2"/>
    </row>
    <row r="766" spans="2:4" ht="16.5" customHeight="1">
      <c r="B766" s="155"/>
      <c r="C766" s="11"/>
      <c r="D766" s="2"/>
    </row>
    <row r="767" spans="2:4" ht="16.5" customHeight="1">
      <c r="B767" s="155"/>
      <c r="C767" s="11"/>
      <c r="D767" s="2"/>
    </row>
    <row r="768" spans="2:4" ht="16.5" customHeight="1">
      <c r="B768" s="155"/>
      <c r="C768" s="11"/>
      <c r="D768" s="2"/>
    </row>
    <row r="769" spans="2:4" ht="16.5" customHeight="1">
      <c r="B769" s="155"/>
      <c r="C769" s="11"/>
      <c r="D769" s="2"/>
    </row>
    <row r="770" spans="2:4" ht="16.5" customHeight="1">
      <c r="B770" s="155"/>
      <c r="C770" s="11"/>
      <c r="D770" s="2"/>
    </row>
    <row r="771" spans="2:4" ht="16.5" customHeight="1">
      <c r="B771" s="155"/>
      <c r="C771" s="11"/>
      <c r="D771" s="2"/>
    </row>
    <row r="772" spans="2:4" ht="16.5" customHeight="1">
      <c r="B772" s="155"/>
      <c r="C772" s="11"/>
      <c r="D772" s="2"/>
    </row>
    <row r="773" spans="2:4" ht="16.5" customHeight="1">
      <c r="B773" s="155"/>
      <c r="C773" s="11"/>
      <c r="D773" s="2"/>
    </row>
    <row r="774" spans="2:4" ht="16.5" customHeight="1">
      <c r="B774" s="155"/>
      <c r="C774" s="11"/>
      <c r="D774" s="2"/>
    </row>
    <row r="775" spans="2:4" ht="16.5" customHeight="1">
      <c r="B775" s="155"/>
      <c r="C775" s="11"/>
      <c r="D775" s="2"/>
    </row>
    <row r="776" spans="2:4" ht="16.5" customHeight="1">
      <c r="B776" s="155"/>
      <c r="C776" s="11"/>
      <c r="D776" s="2"/>
    </row>
    <row r="777" spans="2:4" ht="16.5" customHeight="1">
      <c r="B777" s="155"/>
      <c r="C777" s="11"/>
      <c r="D777" s="2"/>
    </row>
    <row r="778" spans="2:4" ht="16.5" customHeight="1">
      <c r="B778" s="155"/>
      <c r="C778" s="11"/>
      <c r="D778" s="2"/>
    </row>
    <row r="779" spans="2:4" ht="16.5" customHeight="1">
      <c r="B779" s="155"/>
      <c r="C779" s="11"/>
      <c r="D779" s="2"/>
    </row>
    <row r="780" spans="2:4" ht="16.5" customHeight="1">
      <c r="B780" s="155"/>
      <c r="C780" s="11"/>
      <c r="D780" s="2"/>
    </row>
    <row r="781" spans="2:4" ht="16.5" customHeight="1">
      <c r="B781" s="155"/>
      <c r="C781" s="11"/>
      <c r="D781" s="2"/>
    </row>
    <row r="782" spans="2:4" ht="16.5" customHeight="1">
      <c r="B782" s="155"/>
      <c r="C782" s="11"/>
      <c r="D782" s="2"/>
    </row>
    <row r="783" spans="2:4" ht="16.5" customHeight="1">
      <c r="B783" s="155"/>
      <c r="C783" s="11"/>
      <c r="D783" s="2"/>
    </row>
    <row r="784" spans="2:4" ht="16.5" customHeight="1">
      <c r="B784" s="155"/>
      <c r="C784" s="11"/>
      <c r="D784" s="2"/>
    </row>
    <row r="785" spans="2:4" ht="16.5" customHeight="1">
      <c r="B785" s="155"/>
      <c r="C785" s="11"/>
      <c r="D785" s="2"/>
    </row>
    <row r="786" spans="2:4" ht="16.5" customHeight="1">
      <c r="B786" s="155"/>
      <c r="C786" s="11"/>
      <c r="D786" s="2"/>
    </row>
    <row r="787" spans="2:4" ht="16.5" customHeight="1">
      <c r="B787" s="155"/>
      <c r="C787" s="11"/>
      <c r="D787" s="2"/>
    </row>
    <row r="788" spans="2:4" ht="16.5" customHeight="1">
      <c r="B788" s="155"/>
      <c r="C788" s="11"/>
      <c r="D788" s="2"/>
    </row>
    <row r="789" spans="2:4" ht="16.5" customHeight="1">
      <c r="B789" s="155"/>
      <c r="C789" s="11"/>
      <c r="D789" s="2"/>
    </row>
    <row r="790" spans="2:4" ht="16.5" customHeight="1">
      <c r="B790" s="155"/>
      <c r="C790" s="11"/>
      <c r="D790" s="2"/>
    </row>
    <row r="791" spans="2:4" ht="16.5" customHeight="1">
      <c r="B791" s="155"/>
      <c r="C791" s="11"/>
      <c r="D791" s="2"/>
    </row>
    <row r="792" spans="2:4" ht="16.5" customHeight="1">
      <c r="B792" s="155"/>
      <c r="C792" s="11"/>
      <c r="D792" s="2"/>
    </row>
    <row r="793" spans="2:4" ht="16.5" customHeight="1">
      <c r="B793" s="155"/>
      <c r="C793" s="11"/>
      <c r="D793" s="2"/>
    </row>
    <row r="794" spans="2:4" ht="16.5" customHeight="1">
      <c r="B794" s="155"/>
      <c r="C794" s="11"/>
      <c r="D794" s="2"/>
    </row>
    <row r="795" spans="2:4" ht="16.5" customHeight="1">
      <c r="B795" s="155"/>
      <c r="C795" s="11"/>
      <c r="D795" s="2"/>
    </row>
    <row r="796" spans="2:4" ht="16.5" customHeight="1">
      <c r="B796" s="155"/>
      <c r="C796" s="11"/>
      <c r="D796" s="2"/>
    </row>
    <row r="797" spans="2:4" ht="16.5" customHeight="1">
      <c r="B797" s="155"/>
      <c r="C797" s="11"/>
      <c r="D797" s="2"/>
    </row>
    <row r="798" spans="2:4" ht="16.5" customHeight="1">
      <c r="B798" s="155"/>
      <c r="C798" s="11"/>
      <c r="D798" s="2"/>
    </row>
    <row r="799" spans="2:4" ht="16.5" customHeight="1">
      <c r="B799" s="155"/>
      <c r="C799" s="11"/>
      <c r="D799" s="2"/>
    </row>
    <row r="800" spans="2:4" ht="16.5" customHeight="1">
      <c r="B800" s="155"/>
      <c r="C800" s="11"/>
      <c r="D800" s="2"/>
    </row>
    <row r="801" spans="2:4" ht="16.5" customHeight="1">
      <c r="B801" s="155"/>
      <c r="C801" s="11"/>
      <c r="D801" s="2"/>
    </row>
    <row r="802" spans="2:4" ht="16.5" customHeight="1">
      <c r="B802" s="155"/>
      <c r="C802" s="11"/>
      <c r="D802" s="2"/>
    </row>
    <row r="803" spans="2:4" ht="16.5" customHeight="1">
      <c r="B803" s="155"/>
      <c r="C803" s="11"/>
      <c r="D803" s="2"/>
    </row>
    <row r="804" spans="2:4" ht="16.5" customHeight="1">
      <c r="B804" s="155"/>
      <c r="C804" s="11"/>
      <c r="D804" s="2"/>
    </row>
    <row r="805" spans="2:4" ht="16.5" customHeight="1">
      <c r="B805" s="155"/>
      <c r="C805" s="11"/>
      <c r="D805" s="2"/>
    </row>
    <row r="806" spans="2:4" ht="16.5" customHeight="1">
      <c r="B806" s="155"/>
      <c r="C806" s="11"/>
      <c r="D806" s="2"/>
    </row>
    <row r="807" spans="2:4" ht="16.5" customHeight="1">
      <c r="B807" s="155"/>
      <c r="C807" s="11"/>
      <c r="D807" s="2"/>
    </row>
    <row r="808" spans="2:4" ht="16.5" customHeight="1">
      <c r="B808" s="155"/>
      <c r="C808" s="11"/>
      <c r="D808" s="2"/>
    </row>
    <row r="809" spans="2:4" ht="16.5" customHeight="1">
      <c r="B809" s="155"/>
      <c r="C809" s="11"/>
      <c r="D809" s="2"/>
    </row>
    <row r="810" spans="2:4" ht="16.5" customHeight="1">
      <c r="B810" s="155"/>
      <c r="C810" s="11"/>
      <c r="D810" s="2"/>
    </row>
    <row r="811" spans="2:4" ht="16.5" customHeight="1">
      <c r="B811" s="155"/>
      <c r="C811" s="11"/>
      <c r="D811" s="2"/>
    </row>
    <row r="812" spans="2:4" ht="16.5" customHeight="1">
      <c r="B812" s="155"/>
      <c r="C812" s="11"/>
      <c r="D812" s="2"/>
    </row>
    <row r="813" spans="2:4" ht="16.5" customHeight="1">
      <c r="B813" s="155"/>
      <c r="C813" s="11"/>
      <c r="D813" s="2"/>
    </row>
    <row r="814" spans="2:4" ht="16.5" customHeight="1">
      <c r="B814" s="155"/>
      <c r="C814" s="11"/>
      <c r="D814" s="2"/>
    </row>
    <row r="815" spans="2:4" ht="16.5" customHeight="1">
      <c r="B815" s="155"/>
      <c r="C815" s="11"/>
      <c r="D815" s="2"/>
    </row>
    <row r="816" spans="2:4" ht="16.5" customHeight="1">
      <c r="B816" s="155"/>
      <c r="C816" s="11"/>
      <c r="D816" s="2"/>
    </row>
    <row r="817" spans="2:4" ht="16.5" customHeight="1">
      <c r="B817" s="155"/>
      <c r="C817" s="11"/>
      <c r="D817" s="2"/>
    </row>
    <row r="818" spans="2:4" ht="16.5" customHeight="1">
      <c r="B818" s="155"/>
      <c r="C818" s="11"/>
      <c r="D818" s="2"/>
    </row>
    <row r="819" spans="2:4" ht="16.5" customHeight="1">
      <c r="B819" s="155"/>
      <c r="C819" s="11"/>
      <c r="D819" s="2"/>
    </row>
    <row r="820" spans="2:4" ht="16.5" customHeight="1">
      <c r="B820" s="155"/>
      <c r="C820" s="11"/>
      <c r="D820" s="2"/>
    </row>
    <row r="821" spans="2:4" ht="16.5" customHeight="1">
      <c r="B821" s="155"/>
      <c r="C821" s="11"/>
      <c r="D821" s="2"/>
    </row>
    <row r="822" spans="2:4" ht="16.5" customHeight="1">
      <c r="B822" s="155"/>
      <c r="C822" s="11"/>
      <c r="D822" s="2"/>
    </row>
    <row r="823" spans="2:4" ht="16.5" customHeight="1">
      <c r="B823" s="155"/>
      <c r="C823" s="11"/>
      <c r="D823" s="2"/>
    </row>
    <row r="824" spans="2:4" ht="16.5" customHeight="1">
      <c r="B824" s="155"/>
      <c r="C824" s="11"/>
      <c r="D824" s="2"/>
    </row>
    <row r="825" spans="2:4" ht="16.5" customHeight="1">
      <c r="B825" s="155"/>
      <c r="C825" s="11"/>
      <c r="D825" s="2"/>
    </row>
    <row r="826" spans="2:4" ht="16.5" customHeight="1">
      <c r="B826" s="155"/>
      <c r="C826" s="11"/>
      <c r="D826" s="2"/>
    </row>
    <row r="827" spans="2:4" ht="16.5" customHeight="1">
      <c r="B827" s="155"/>
      <c r="C827" s="11"/>
      <c r="D827" s="2"/>
    </row>
    <row r="828" spans="2:4" ht="16.5" customHeight="1">
      <c r="B828" s="155"/>
      <c r="C828" s="11"/>
      <c r="D828" s="2"/>
    </row>
    <row r="829" spans="2:4" ht="16.5" customHeight="1">
      <c r="B829" s="155"/>
      <c r="C829" s="11"/>
      <c r="D829" s="2"/>
    </row>
    <row r="830" spans="2:4" ht="16.5" customHeight="1">
      <c r="B830" s="155"/>
      <c r="C830" s="11"/>
      <c r="D830" s="2"/>
    </row>
    <row r="831" spans="2:4" ht="16.5" customHeight="1">
      <c r="B831" s="155"/>
      <c r="C831" s="11"/>
      <c r="D831" s="2"/>
    </row>
    <row r="832" spans="2:4" ht="16.5" customHeight="1">
      <c r="B832" s="155"/>
      <c r="C832" s="11"/>
      <c r="D832" s="2"/>
    </row>
    <row r="833" spans="2:4" ht="16.5" customHeight="1">
      <c r="B833" s="155"/>
      <c r="C833" s="11"/>
      <c r="D833" s="2"/>
    </row>
    <row r="834" spans="2:4" ht="16.5" customHeight="1">
      <c r="B834" s="155"/>
      <c r="C834" s="11"/>
      <c r="D834" s="2"/>
    </row>
    <row r="835" spans="2:4" ht="16.5" customHeight="1">
      <c r="B835" s="155"/>
      <c r="C835" s="11"/>
      <c r="D835" s="2"/>
    </row>
    <row r="836" spans="2:4" ht="16.5" customHeight="1">
      <c r="B836" s="155"/>
      <c r="C836" s="11"/>
      <c r="D836" s="2"/>
    </row>
    <row r="837" spans="2:4" ht="16.5" customHeight="1">
      <c r="B837" s="155"/>
      <c r="C837" s="11"/>
      <c r="D837" s="2"/>
    </row>
    <row r="838" spans="2:4" ht="16.5" customHeight="1">
      <c r="B838" s="155"/>
      <c r="C838" s="11"/>
      <c r="D838" s="2"/>
    </row>
    <row r="839" spans="2:4" ht="16.5" customHeight="1">
      <c r="B839" s="155"/>
      <c r="C839" s="11"/>
      <c r="D839" s="2"/>
    </row>
    <row r="840" spans="2:4" ht="16.5" customHeight="1">
      <c r="B840" s="155"/>
      <c r="C840" s="11"/>
      <c r="D840" s="2"/>
    </row>
    <row r="841" spans="2:4" ht="16.5" customHeight="1">
      <c r="B841" s="155"/>
      <c r="C841" s="11"/>
      <c r="D841" s="2"/>
    </row>
    <row r="842" spans="2:4" ht="16.5" customHeight="1">
      <c r="B842" s="155"/>
      <c r="C842" s="11"/>
      <c r="D842" s="2"/>
    </row>
    <row r="843" spans="2:4" ht="16.5" customHeight="1">
      <c r="B843" s="155"/>
      <c r="C843" s="11"/>
      <c r="D843" s="2"/>
    </row>
    <row r="844" spans="2:4" ht="16.5" customHeight="1">
      <c r="B844" s="155"/>
      <c r="C844" s="11"/>
      <c r="D844" s="2"/>
    </row>
    <row r="845" spans="2:4" ht="16.5" customHeight="1">
      <c r="B845" s="155"/>
      <c r="C845" s="11"/>
      <c r="D845" s="2"/>
    </row>
    <row r="846" spans="2:4" ht="16.5" customHeight="1">
      <c r="B846" s="155"/>
      <c r="C846" s="11"/>
      <c r="D846" s="2"/>
    </row>
    <row r="847" spans="2:4" ht="16.5" customHeight="1">
      <c r="B847" s="155"/>
      <c r="C847" s="11"/>
      <c r="D847" s="2"/>
    </row>
    <row r="848" spans="2:4" ht="16.5" customHeight="1">
      <c r="B848" s="155"/>
      <c r="C848" s="11"/>
      <c r="D848" s="2"/>
    </row>
    <row r="849" spans="2:4" ht="16.5" customHeight="1">
      <c r="B849" s="155"/>
      <c r="C849" s="11"/>
      <c r="D849" s="2"/>
    </row>
    <row r="850" spans="2:4" ht="16.5" customHeight="1">
      <c r="B850" s="155"/>
      <c r="C850" s="11"/>
      <c r="D850" s="2"/>
    </row>
    <row r="851" spans="2:4" ht="16.5" customHeight="1">
      <c r="B851" s="155"/>
      <c r="C851" s="11"/>
      <c r="D851" s="2"/>
    </row>
    <row r="852" spans="2:4" ht="16.5" customHeight="1">
      <c r="B852" s="155"/>
      <c r="C852" s="11"/>
      <c r="D852" s="2"/>
    </row>
    <row r="853" spans="2:4" ht="16.5" customHeight="1">
      <c r="B853" s="155"/>
      <c r="C853" s="11"/>
      <c r="D853" s="2"/>
    </row>
    <row r="854" spans="2:4" ht="16.5" customHeight="1">
      <c r="B854" s="155"/>
      <c r="C854" s="11"/>
      <c r="D854" s="2"/>
    </row>
    <row r="855" spans="2:4" ht="16.5" customHeight="1">
      <c r="B855" s="155"/>
      <c r="C855" s="11"/>
      <c r="D855" s="2"/>
    </row>
    <row r="856" spans="2:4" ht="16.5" customHeight="1">
      <c r="B856" s="155"/>
      <c r="C856" s="11"/>
      <c r="D856" s="2"/>
    </row>
    <row r="857" spans="2:4" ht="16.5" customHeight="1">
      <c r="B857" s="155"/>
      <c r="C857" s="11"/>
      <c r="D857" s="2"/>
    </row>
    <row r="858" spans="2:4" ht="16.5" customHeight="1">
      <c r="B858" s="155"/>
      <c r="C858" s="11"/>
      <c r="D858" s="2"/>
    </row>
    <row r="859" spans="2:4" ht="16.5" customHeight="1">
      <c r="B859" s="155"/>
      <c r="C859" s="11"/>
      <c r="D859" s="2"/>
    </row>
    <row r="860" spans="2:4" ht="16.5" customHeight="1">
      <c r="B860" s="155"/>
      <c r="C860" s="11"/>
      <c r="D860" s="2"/>
    </row>
    <row r="861" spans="2:4" ht="16.5" customHeight="1">
      <c r="B861" s="155"/>
      <c r="C861" s="11"/>
      <c r="D861" s="2"/>
    </row>
    <row r="862" spans="2:4" ht="16.5" customHeight="1">
      <c r="B862" s="155"/>
      <c r="C862" s="11"/>
      <c r="D862" s="2"/>
    </row>
    <row r="863" spans="2:4" ht="16.5" customHeight="1">
      <c r="B863" s="155"/>
      <c r="C863" s="11"/>
      <c r="D863" s="2"/>
    </row>
    <row r="864" spans="2:4" ht="16.5" customHeight="1">
      <c r="B864" s="155"/>
      <c r="C864" s="11"/>
      <c r="D864" s="2"/>
    </row>
    <row r="865" spans="2:4" ht="16.5" customHeight="1">
      <c r="B865" s="155"/>
      <c r="C865" s="11"/>
      <c r="D865" s="2"/>
    </row>
    <row r="866" spans="2:4" ht="16.5" customHeight="1">
      <c r="B866" s="155"/>
      <c r="C866" s="11"/>
      <c r="D866" s="2"/>
    </row>
    <row r="867" spans="2:4" ht="16.5" customHeight="1">
      <c r="B867" s="155"/>
      <c r="C867" s="11"/>
      <c r="D867" s="2"/>
    </row>
    <row r="868" spans="2:4" ht="16.5" customHeight="1">
      <c r="B868" s="155"/>
      <c r="C868" s="11"/>
      <c r="D868" s="2"/>
    </row>
    <row r="869" spans="2:4" ht="16.5" customHeight="1">
      <c r="B869" s="155"/>
      <c r="C869" s="11"/>
      <c r="D869" s="2"/>
    </row>
    <row r="870" spans="2:4" ht="16.5" customHeight="1">
      <c r="B870" s="155"/>
      <c r="C870" s="11"/>
      <c r="D870" s="2"/>
    </row>
    <row r="871" spans="2:4" ht="16.5" customHeight="1">
      <c r="B871" s="155"/>
      <c r="C871" s="11"/>
      <c r="D871" s="2"/>
    </row>
    <row r="872" spans="2:4" ht="16.5" customHeight="1">
      <c r="B872" s="155"/>
      <c r="C872" s="11"/>
      <c r="D872" s="2"/>
    </row>
    <row r="873" spans="2:4" ht="16.5" customHeight="1">
      <c r="B873" s="155"/>
      <c r="C873" s="11"/>
      <c r="D873" s="2"/>
    </row>
    <row r="874" spans="2:4" ht="16.5" customHeight="1">
      <c r="B874" s="155"/>
      <c r="C874" s="11"/>
      <c r="D874" s="2"/>
    </row>
    <row r="875" spans="2:4" ht="16.5" customHeight="1">
      <c r="B875" s="155"/>
      <c r="C875" s="11"/>
      <c r="D875" s="2"/>
    </row>
    <row r="876" spans="2:4" ht="16.5" customHeight="1">
      <c r="B876" s="155"/>
      <c r="C876" s="11"/>
      <c r="D876" s="2"/>
    </row>
    <row r="877" spans="2:4" ht="16.5" customHeight="1">
      <c r="B877" s="155"/>
      <c r="C877" s="11"/>
      <c r="D877" s="2"/>
    </row>
    <row r="878" spans="2:4" ht="16.5" customHeight="1">
      <c r="B878" s="155"/>
      <c r="C878" s="11"/>
      <c r="D878" s="2"/>
    </row>
    <row r="879" spans="2:4" ht="16.5" customHeight="1">
      <c r="B879" s="155"/>
      <c r="C879" s="11"/>
      <c r="D879" s="2"/>
    </row>
    <row r="880" spans="2:4" ht="16.5" customHeight="1">
      <c r="B880" s="155"/>
      <c r="C880" s="11"/>
      <c r="D880" s="2"/>
    </row>
    <row r="881" spans="2:4" ht="16.5" customHeight="1">
      <c r="B881" s="155"/>
      <c r="C881" s="11"/>
      <c r="D881" s="2"/>
    </row>
    <row r="882" spans="2:4" ht="16.5" customHeight="1">
      <c r="B882" s="155"/>
      <c r="C882" s="11"/>
      <c r="D882" s="2"/>
    </row>
    <row r="883" spans="2:4" ht="16.5" customHeight="1">
      <c r="B883" s="155"/>
      <c r="C883" s="11"/>
      <c r="D883" s="2"/>
    </row>
    <row r="884" spans="2:4" ht="16.5" customHeight="1">
      <c r="B884" s="155"/>
      <c r="C884" s="11"/>
      <c r="D884" s="2"/>
    </row>
    <row r="885" spans="2:4" ht="16.5" customHeight="1">
      <c r="B885" s="155"/>
      <c r="C885" s="11"/>
      <c r="D885" s="2"/>
    </row>
    <row r="886" spans="2:4" ht="16.5" customHeight="1">
      <c r="B886" s="155"/>
      <c r="C886" s="11"/>
      <c r="D886" s="2"/>
    </row>
    <row r="887" spans="2:4" ht="16.5" customHeight="1">
      <c r="B887" s="155"/>
      <c r="C887" s="11"/>
      <c r="D887" s="2"/>
    </row>
    <row r="888" spans="2:4" ht="16.5" customHeight="1">
      <c r="B888" s="155"/>
      <c r="C888" s="11"/>
      <c r="D888" s="2"/>
    </row>
    <row r="889" spans="2:4" ht="16.5" customHeight="1">
      <c r="B889" s="155"/>
      <c r="C889" s="11"/>
      <c r="D889" s="2"/>
    </row>
    <row r="890" spans="2:4" ht="16.5" customHeight="1">
      <c r="B890" s="155"/>
      <c r="C890" s="11"/>
      <c r="D890" s="2"/>
    </row>
    <row r="891" spans="2:4" ht="16.5" customHeight="1">
      <c r="B891" s="155"/>
      <c r="C891" s="11"/>
      <c r="D891" s="2"/>
    </row>
    <row r="892" spans="2:4" ht="16.5" customHeight="1">
      <c r="B892" s="155"/>
      <c r="C892" s="11"/>
      <c r="D892" s="2"/>
    </row>
    <row r="893" spans="2:4" ht="16.5" customHeight="1">
      <c r="B893" s="155"/>
      <c r="C893" s="11"/>
      <c r="D893" s="2"/>
    </row>
    <row r="894" spans="2:4" ht="16.5" customHeight="1">
      <c r="B894" s="155"/>
      <c r="C894" s="11"/>
      <c r="D894" s="2"/>
    </row>
    <row r="895" spans="2:4" ht="16.5" customHeight="1">
      <c r="B895" s="155"/>
      <c r="C895" s="11"/>
      <c r="D895" s="2"/>
    </row>
    <row r="896" spans="2:4" ht="16.5" customHeight="1">
      <c r="B896" s="155"/>
      <c r="C896" s="11"/>
      <c r="D896" s="2"/>
    </row>
    <row r="897" spans="2:4" ht="16.5" customHeight="1">
      <c r="B897" s="155"/>
      <c r="C897" s="11"/>
      <c r="D897" s="2"/>
    </row>
    <row r="898" spans="2:4" ht="16.5" customHeight="1">
      <c r="B898" s="155"/>
      <c r="C898" s="11"/>
      <c r="D898" s="2"/>
    </row>
    <row r="899" spans="2:4" ht="16.5" customHeight="1">
      <c r="B899" s="155"/>
      <c r="C899" s="11"/>
      <c r="D899" s="2"/>
    </row>
    <row r="900" spans="2:4" ht="16.5" customHeight="1">
      <c r="B900" s="155"/>
      <c r="C900" s="11"/>
      <c r="D900" s="2"/>
    </row>
    <row r="901" spans="2:4" ht="16.5" customHeight="1">
      <c r="B901" s="155"/>
      <c r="C901" s="11"/>
      <c r="D901" s="2"/>
    </row>
    <row r="902" spans="2:4" ht="16.5" customHeight="1">
      <c r="B902" s="155"/>
      <c r="C902" s="11"/>
      <c r="D902" s="2"/>
    </row>
  </sheetData>
  <sheetProtection/>
  <mergeCells count="8">
    <mergeCell ref="A3:D3"/>
    <mergeCell ref="A107:D107"/>
    <mergeCell ref="A108:D108"/>
    <mergeCell ref="A1:D1"/>
    <mergeCell ref="A2:D2"/>
    <mergeCell ref="A58:D58"/>
    <mergeCell ref="A59:D59"/>
    <mergeCell ref="A106:D106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99" zoomScaleNormal="99" zoomScaleSheetLayoutView="99" zoomScalePageLayoutView="0" workbookViewId="0" topLeftCell="A106">
      <selection activeCell="I105" sqref="I105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3" width="7.140625" style="81" customWidth="1"/>
    <col min="14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7" t="s">
        <v>91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</row>
    <row r="2" spans="1:18" ht="16.5">
      <c r="A2" s="347" t="s">
        <v>481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</row>
    <row r="3" spans="1:18" ht="16.5">
      <c r="A3" s="348" t="s">
        <v>555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</row>
    <row r="4" s="123" customFormat="1" ht="14.25">
      <c r="Q4" s="191"/>
    </row>
    <row r="5" spans="1:18" s="64" customFormat="1" ht="14.25">
      <c r="A5" s="65" t="s">
        <v>115</v>
      </c>
      <c r="B5" s="349" t="s">
        <v>92</v>
      </c>
      <c r="C5" s="350" t="s">
        <v>93</v>
      </c>
      <c r="D5" s="350"/>
      <c r="E5" s="350"/>
      <c r="F5" s="87" t="s">
        <v>94</v>
      </c>
      <c r="G5" s="350" t="s">
        <v>95</v>
      </c>
      <c r="H5" s="350"/>
      <c r="I5" s="350" t="s">
        <v>96</v>
      </c>
      <c r="J5" s="350"/>
      <c r="K5" s="350" t="s">
        <v>98</v>
      </c>
      <c r="L5" s="350"/>
      <c r="M5" s="351" t="s">
        <v>392</v>
      </c>
      <c r="N5" s="352"/>
      <c r="O5" s="351" t="s">
        <v>99</v>
      </c>
      <c r="P5" s="352"/>
      <c r="Q5" s="214" t="s">
        <v>113</v>
      </c>
      <c r="R5" s="353" t="s">
        <v>19</v>
      </c>
    </row>
    <row r="6" spans="1:18" s="64" customFormat="1" ht="14.25">
      <c r="A6" s="66" t="s">
        <v>116</v>
      </c>
      <c r="B6" s="349"/>
      <c r="C6" s="87" t="s">
        <v>100</v>
      </c>
      <c r="D6" s="87" t="s">
        <v>111</v>
      </c>
      <c r="E6" s="87" t="s">
        <v>101</v>
      </c>
      <c r="F6" s="87" t="s">
        <v>102</v>
      </c>
      <c r="G6" s="87" t="s">
        <v>103</v>
      </c>
      <c r="H6" s="87" t="s">
        <v>104</v>
      </c>
      <c r="I6" s="87" t="s">
        <v>105</v>
      </c>
      <c r="J6" s="87" t="s">
        <v>106</v>
      </c>
      <c r="K6" s="87" t="s">
        <v>107</v>
      </c>
      <c r="L6" s="87" t="s">
        <v>108</v>
      </c>
      <c r="M6" s="87" t="s">
        <v>467</v>
      </c>
      <c r="N6" s="87" t="s">
        <v>391</v>
      </c>
      <c r="O6" s="87" t="s">
        <v>109</v>
      </c>
      <c r="P6" s="87" t="s">
        <v>110</v>
      </c>
      <c r="Q6" s="192" t="s">
        <v>114</v>
      </c>
      <c r="R6" s="354"/>
    </row>
    <row r="7" spans="1:18" ht="14.25">
      <c r="A7" s="88" t="s">
        <v>255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256</v>
      </c>
      <c r="B8" s="67">
        <f>94000-6152-5752-5752-5752-5752-5752-5560-5002</f>
        <v>48526</v>
      </c>
      <c r="C8" s="67" t="s">
        <v>253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48526</v>
      </c>
    </row>
    <row r="9" spans="1:18" ht="14.25">
      <c r="A9" s="90" t="s">
        <v>257</v>
      </c>
      <c r="B9" s="70">
        <f>30000-2500-2500-2000-2000-2000-2000-2000-2000</f>
        <v>13000</v>
      </c>
      <c r="C9" s="70"/>
      <c r="D9" s="70"/>
      <c r="E9" s="70"/>
      <c r="F9" s="70" t="s">
        <v>253</v>
      </c>
      <c r="G9" s="216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13000</v>
      </c>
    </row>
    <row r="10" spans="1:18" ht="14.25">
      <c r="A10" s="90" t="s">
        <v>258</v>
      </c>
      <c r="B10" s="70">
        <f>287540-46000-14445-79815</f>
        <v>147280</v>
      </c>
      <c r="C10" s="70"/>
      <c r="D10" s="70"/>
      <c r="E10" s="70"/>
      <c r="F10" s="70"/>
      <c r="G10" s="70"/>
      <c r="H10" s="70"/>
      <c r="I10" s="70"/>
      <c r="J10" s="70"/>
      <c r="K10" s="76"/>
      <c r="L10" s="284"/>
      <c r="M10" s="70"/>
      <c r="N10" s="70"/>
      <c r="O10" s="70"/>
      <c r="P10" s="70"/>
      <c r="Q10" s="70"/>
      <c r="R10" s="70">
        <f>SUM(B10:P10)</f>
        <v>147280</v>
      </c>
    </row>
    <row r="11" spans="1:18" ht="14.25">
      <c r="A11" s="90" t="s">
        <v>259</v>
      </c>
      <c r="B11" s="70">
        <f>140000-120000</f>
        <v>20000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20000</v>
      </c>
    </row>
    <row r="12" spans="1:18" ht="14.25">
      <c r="A12" s="90" t="s">
        <v>260</v>
      </c>
      <c r="B12" s="70">
        <f>147240-147234</f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>
        <f>SUM(B12)</f>
        <v>6</v>
      </c>
    </row>
    <row r="13" spans="1:18" ht="14.25">
      <c r="A13" s="94" t="s">
        <v>504</v>
      </c>
      <c r="B13" s="184">
        <f>147240-147240</f>
        <v>0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>
        <f>SUM(B13)</f>
        <v>0</v>
      </c>
    </row>
    <row r="14" spans="1:18" ht="15" thickBot="1">
      <c r="A14" s="90" t="s">
        <v>36</v>
      </c>
      <c r="B14" s="72">
        <f>SUM(B8:B13)</f>
        <v>228812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>
        <v>0</v>
      </c>
      <c r="O14" s="61">
        <v>0</v>
      </c>
      <c r="P14" s="61">
        <v>0</v>
      </c>
      <c r="Q14" s="61"/>
      <c r="R14" s="72">
        <f>SUM(B14:P14)</f>
        <v>228812</v>
      </c>
    </row>
    <row r="15" spans="1:18" ht="15" thickTop="1">
      <c r="A15" s="92" t="s">
        <v>261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/>
    </row>
    <row r="16" spans="1:18" ht="14.25">
      <c r="A16" s="90" t="s">
        <v>262</v>
      </c>
      <c r="B16" s="76"/>
      <c r="C16" s="70">
        <f>520000-42840-42840-42840-42840-42840-42840-42840-42840</f>
        <v>177280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1">SUM(C16:P16)</f>
        <v>177280</v>
      </c>
    </row>
    <row r="17" spans="1:18" ht="14.25">
      <c r="A17" s="89" t="s">
        <v>263</v>
      </c>
      <c r="B17" s="77"/>
      <c r="C17" s="77">
        <f>43000-3510-3510-3510-3510-3510-3510-3510-3510</f>
        <v>14920</v>
      </c>
      <c r="D17" s="77"/>
      <c r="E17" s="77"/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14920</v>
      </c>
    </row>
    <row r="18" spans="1:18" ht="14.25">
      <c r="A18" s="90" t="s">
        <v>264</v>
      </c>
      <c r="B18" s="76"/>
      <c r="C18" s="76">
        <f>43000-3510-3510-3510-3510-3510-3510-3510-3510</f>
        <v>14920</v>
      </c>
      <c r="D18" s="76"/>
      <c r="E18" s="76"/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14920</v>
      </c>
    </row>
    <row r="19" spans="1:18" ht="14.25">
      <c r="A19" s="90" t="s">
        <v>265</v>
      </c>
      <c r="B19" s="76"/>
      <c r="C19" s="70">
        <f>87000-7200-7200-7200-7200-7200-7200-7200-7200</f>
        <v>29400</v>
      </c>
      <c r="D19" s="76"/>
      <c r="E19" s="76"/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29400</v>
      </c>
    </row>
    <row r="20" spans="1:18" ht="14.25">
      <c r="A20" s="89" t="s">
        <v>266</v>
      </c>
      <c r="B20" s="77"/>
      <c r="C20" s="77">
        <f>2059600-171600-171600-171600-171600-171600-171600-171600-171600</f>
        <v>686800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686800</v>
      </c>
    </row>
    <row r="21" spans="1:18" ht="14.25">
      <c r="A21" s="90" t="s">
        <v>267</v>
      </c>
      <c r="B21" s="76"/>
      <c r="C21" s="70">
        <f>87000-7200-7200-7200-7200-7200-7200-7200-7200</f>
        <v>29400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29400</v>
      </c>
    </row>
    <row r="22" spans="1:18" ht="15" thickBot="1">
      <c r="A22" s="90" t="s">
        <v>36</v>
      </c>
      <c r="B22" s="93"/>
      <c r="C22" s="80">
        <f>SUM(C16:C21)</f>
        <v>952720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/>
      <c r="N22" s="93">
        <v>0</v>
      </c>
      <c r="O22" s="93">
        <v>0</v>
      </c>
      <c r="P22" s="93">
        <v>0</v>
      </c>
      <c r="Q22" s="93"/>
      <c r="R22" s="73">
        <f>SUM(R16:R21)</f>
        <v>952720</v>
      </c>
    </row>
    <row r="23" spans="1:18" ht="15" thickTop="1">
      <c r="A23" s="89" t="s">
        <v>268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83"/>
      <c r="Q23" s="77"/>
      <c r="R23" s="67"/>
    </row>
    <row r="24" spans="1:18" ht="14.25">
      <c r="A24" s="90" t="s">
        <v>269</v>
      </c>
      <c r="B24" s="76"/>
      <c r="C24" s="76">
        <f>2166000-170400-169270-169270-241193-174610-174610-178780-178780</f>
        <v>709087</v>
      </c>
      <c r="D24" s="76"/>
      <c r="E24" s="76">
        <f>1123800-87010-87010-87010-137229-90340-90340-92440-92440</f>
        <v>359981</v>
      </c>
      <c r="F24" s="76"/>
      <c r="G24" s="76">
        <f>280500-21620-21620-21620-33460-22490-22490-23080-23080</f>
        <v>91040</v>
      </c>
      <c r="H24" s="76"/>
      <c r="I24" s="76">
        <v>189600</v>
      </c>
      <c r="J24" s="76"/>
      <c r="K24" s="76">
        <f>720000-54890-54890-54890-72101-66444-59730-59850-59850</f>
        <v>237355</v>
      </c>
      <c r="L24" s="76"/>
      <c r="M24" s="76"/>
      <c r="N24" s="76"/>
      <c r="O24" s="76"/>
      <c r="P24" s="70"/>
      <c r="Q24" s="76"/>
      <c r="R24" s="70">
        <f>SUM(C24:Q24)</f>
        <v>1587063</v>
      </c>
    </row>
    <row r="25" spans="1:18" ht="14.25">
      <c r="A25" s="90" t="s">
        <v>270</v>
      </c>
      <c r="B25" s="76"/>
      <c r="C25" s="76"/>
      <c r="D25" s="76"/>
      <c r="E25" s="76"/>
      <c r="F25" s="76"/>
      <c r="G25" s="76"/>
      <c r="H25" s="76"/>
      <c r="I25" s="76"/>
      <c r="J25" s="76"/>
      <c r="K25" s="76">
        <f>24000-2000-2000-2000-2000-1775-1775-1325-1325</f>
        <v>9800</v>
      </c>
      <c r="L25" s="76"/>
      <c r="M25" s="76"/>
      <c r="N25" s="76"/>
      <c r="O25" s="76"/>
      <c r="P25" s="70"/>
      <c r="Q25" s="76"/>
      <c r="R25" s="70">
        <f>SUM(C25:P25)</f>
        <v>9800</v>
      </c>
    </row>
    <row r="26" spans="1:18" ht="14.25">
      <c r="A26" s="89" t="s">
        <v>271</v>
      </c>
      <c r="B26" s="77"/>
      <c r="C26" s="77">
        <f>176500-14700-14700-14700-14700-14700-14700-14700-28700</f>
        <v>44900</v>
      </c>
      <c r="D26" s="77"/>
      <c r="E26" s="77">
        <f>42000-3500-3500-3500-3500-3500-3500-3500-3500</f>
        <v>14000</v>
      </c>
      <c r="F26" s="77"/>
      <c r="G26" s="77">
        <f>42000-3500-3500-3500-3500-3500-3500-3500-3500</f>
        <v>14000</v>
      </c>
      <c r="H26" s="77"/>
      <c r="I26" s="77">
        <v>42000</v>
      </c>
      <c r="J26" s="77"/>
      <c r="K26" s="77">
        <f>42000-3500-3500-3500-3500-3500-3500-3500-3500</f>
        <v>14000</v>
      </c>
      <c r="L26" s="77"/>
      <c r="M26" s="77"/>
      <c r="N26" s="77"/>
      <c r="O26" s="77"/>
      <c r="P26" s="67"/>
      <c r="Q26" s="77"/>
      <c r="R26" s="67">
        <f>SUM(C26:P26)</f>
        <v>128900</v>
      </c>
    </row>
    <row r="27" spans="1:18" ht="15" thickBot="1">
      <c r="A27" s="90" t="s">
        <v>36</v>
      </c>
      <c r="B27" s="93"/>
      <c r="C27" s="80">
        <f>SUM(C24:C26)</f>
        <v>753987</v>
      </c>
      <c r="D27" s="93"/>
      <c r="E27" s="93">
        <f>SUM(E24:E26)</f>
        <v>373981</v>
      </c>
      <c r="F27" s="93">
        <v>0</v>
      </c>
      <c r="G27" s="93">
        <f>SUM(G24:G26)</f>
        <v>105040</v>
      </c>
      <c r="H27" s="93">
        <v>0</v>
      </c>
      <c r="I27" s="93">
        <f>SUM(I24:I26)</f>
        <v>231600</v>
      </c>
      <c r="J27" s="93">
        <v>0</v>
      </c>
      <c r="K27" s="93">
        <f>SUM(K24:K26)</f>
        <v>261155</v>
      </c>
      <c r="L27" s="93">
        <v>0</v>
      </c>
      <c r="M27" s="93"/>
      <c r="N27" s="93">
        <v>0</v>
      </c>
      <c r="O27" s="93">
        <v>0</v>
      </c>
      <c r="P27" s="93">
        <v>0</v>
      </c>
      <c r="Q27" s="93"/>
      <c r="R27" s="61">
        <f>SUM(C27:P27)</f>
        <v>1725763</v>
      </c>
    </row>
    <row r="28" spans="1:18" ht="15" thickTop="1">
      <c r="A28" s="89" t="s">
        <v>268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67"/>
      <c r="Q28" s="77"/>
      <c r="R28" s="84"/>
    </row>
    <row r="29" spans="1:18" ht="14.25">
      <c r="A29" s="90" t="s">
        <v>272</v>
      </c>
      <c r="B29" s="76"/>
      <c r="C29" s="76">
        <f>170000-12810-12810-12810-13385-13310-13310-13760-13760</f>
        <v>64045</v>
      </c>
      <c r="D29" s="76"/>
      <c r="E29" s="76">
        <v>0</v>
      </c>
      <c r="F29" s="76"/>
      <c r="G29" s="76">
        <v>0</v>
      </c>
      <c r="H29" s="76"/>
      <c r="I29" s="76">
        <v>0</v>
      </c>
      <c r="J29" s="76"/>
      <c r="K29" s="76">
        <v>0</v>
      </c>
      <c r="L29" s="76"/>
      <c r="M29" s="76"/>
      <c r="N29" s="76"/>
      <c r="O29" s="76"/>
      <c r="P29" s="70"/>
      <c r="Q29" s="76"/>
      <c r="R29" s="70">
        <f>SUM(C29:P29)</f>
        <v>64045</v>
      </c>
    </row>
    <row r="30" spans="1:18" ht="14.25">
      <c r="A30" s="89" t="s">
        <v>273</v>
      </c>
      <c r="B30" s="78"/>
      <c r="C30" s="77">
        <f>12000-475-475-475</f>
        <v>10575</v>
      </c>
      <c r="D30" s="77"/>
      <c r="E30" s="77">
        <v>0</v>
      </c>
      <c r="F30" s="77"/>
      <c r="G30" s="77">
        <v>0</v>
      </c>
      <c r="H30" s="77"/>
      <c r="I30" s="77">
        <v>0</v>
      </c>
      <c r="J30" s="77"/>
      <c r="K30" s="77">
        <v>0</v>
      </c>
      <c r="L30" s="77"/>
      <c r="M30" s="77"/>
      <c r="N30" s="77"/>
      <c r="O30" s="77"/>
      <c r="P30" s="67"/>
      <c r="Q30" s="77"/>
      <c r="R30" s="67">
        <f>SUM(C30:P30)</f>
        <v>10575</v>
      </c>
    </row>
    <row r="31" spans="1:18" ht="15" thickBot="1">
      <c r="A31" s="90" t="s">
        <v>36</v>
      </c>
      <c r="B31" s="93"/>
      <c r="C31" s="80">
        <f>SUM(C29:C30)</f>
        <v>74620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/>
      <c r="N31" s="93">
        <v>0</v>
      </c>
      <c r="O31" s="93">
        <v>0</v>
      </c>
      <c r="P31" s="93">
        <v>0</v>
      </c>
      <c r="Q31" s="93"/>
      <c r="R31" s="73">
        <f>SUM(C31:P31)</f>
        <v>74620</v>
      </c>
    </row>
    <row r="32" ht="15" thickTop="1">
      <c r="C32" s="196"/>
    </row>
    <row r="43" spans="1:18" s="64" customFormat="1" ht="14.25">
      <c r="A43" s="65" t="s">
        <v>115</v>
      </c>
      <c r="B43" s="349" t="s">
        <v>92</v>
      </c>
      <c r="C43" s="350" t="s">
        <v>93</v>
      </c>
      <c r="D43" s="350"/>
      <c r="E43" s="350"/>
      <c r="F43" s="87" t="s">
        <v>94</v>
      </c>
      <c r="G43" s="350" t="s">
        <v>95</v>
      </c>
      <c r="H43" s="350"/>
      <c r="I43" s="350" t="s">
        <v>96</v>
      </c>
      <c r="J43" s="350"/>
      <c r="K43" s="350" t="s">
        <v>98</v>
      </c>
      <c r="L43" s="350"/>
      <c r="M43" s="351" t="s">
        <v>392</v>
      </c>
      <c r="N43" s="352"/>
      <c r="O43" s="350" t="s">
        <v>99</v>
      </c>
      <c r="P43" s="350"/>
      <c r="Q43" s="214"/>
      <c r="R43" s="353" t="s">
        <v>19</v>
      </c>
    </row>
    <row r="44" spans="1:18" s="64" customFormat="1" ht="14.25">
      <c r="A44" s="66" t="s">
        <v>116</v>
      </c>
      <c r="B44" s="349"/>
      <c r="C44" s="87" t="s">
        <v>100</v>
      </c>
      <c r="D44" s="87" t="s">
        <v>111</v>
      </c>
      <c r="E44" s="87" t="s">
        <v>101</v>
      </c>
      <c r="F44" s="87" t="s">
        <v>102</v>
      </c>
      <c r="G44" s="87" t="s">
        <v>103</v>
      </c>
      <c r="H44" s="87" t="s">
        <v>104</v>
      </c>
      <c r="I44" s="87" t="s">
        <v>105</v>
      </c>
      <c r="J44" s="87" t="s">
        <v>106</v>
      </c>
      <c r="K44" s="87" t="s">
        <v>107</v>
      </c>
      <c r="L44" s="87" t="s">
        <v>108</v>
      </c>
      <c r="M44" s="87" t="s">
        <v>467</v>
      </c>
      <c r="N44" s="87" t="s">
        <v>391</v>
      </c>
      <c r="O44" s="87" t="s">
        <v>109</v>
      </c>
      <c r="P44" s="87" t="s">
        <v>110</v>
      </c>
      <c r="Q44" s="192" t="s">
        <v>114</v>
      </c>
      <c r="R44" s="354"/>
    </row>
    <row r="45" spans="1:18" ht="14.25">
      <c r="A45" s="92" t="s">
        <v>268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4.25">
      <c r="A46" s="185" t="s">
        <v>274</v>
      </c>
      <c r="B46" s="70"/>
      <c r="C46" s="70">
        <f>376000-29760-29760-29760-29760-29760-29760-29760-29760</f>
        <v>137920</v>
      </c>
      <c r="D46" s="70"/>
      <c r="E46" s="70">
        <f>451000-21150-21150-21150-21150-21150-21150-21150-21150</f>
        <v>281800</v>
      </c>
      <c r="F46" s="70"/>
      <c r="G46" s="70">
        <f>444500-26620-26620-26620-26620-26620-26620-20153-9000</f>
        <v>255627</v>
      </c>
      <c r="H46" s="70">
        <f>51000-51000</f>
        <v>0</v>
      </c>
      <c r="I46" s="70">
        <f>112500-9000-9000-9000-9000-9000-9000-9000-9000</f>
        <v>40500</v>
      </c>
      <c r="J46" s="70"/>
      <c r="K46" s="70">
        <f>240000-19080-19080-19080-19080-19080-19080-19080-19080</f>
        <v>87360</v>
      </c>
      <c r="L46" s="70"/>
      <c r="M46" s="70"/>
      <c r="N46" s="70"/>
      <c r="O46" s="70"/>
      <c r="P46" s="70"/>
      <c r="Q46" s="70"/>
      <c r="R46" s="70">
        <f>SUM(C46:Q46)</f>
        <v>803207</v>
      </c>
    </row>
    <row r="47" spans="1:18" ht="14.25">
      <c r="A47" s="89" t="s">
        <v>275</v>
      </c>
      <c r="B47" s="67"/>
      <c r="C47" s="67">
        <f>60000-4925-4925-4925-4925-4925-4925-4925-4925</f>
        <v>20600</v>
      </c>
      <c r="D47" s="67"/>
      <c r="E47" s="67">
        <f>36000-2135-2135-2135-2135-2135-2135-2135-2135</f>
        <v>18920</v>
      </c>
      <c r="F47" s="67"/>
      <c r="G47" s="67">
        <f>24000-1000-1000-1000-1000-1000-1000-1000-1000</f>
        <v>16000</v>
      </c>
      <c r="H47" s="67"/>
      <c r="I47" s="67">
        <f>12000-1000-1000-1000-1000-1000-1000-1000-1000</f>
        <v>4000</v>
      </c>
      <c r="J47" s="67"/>
      <c r="K47" s="67">
        <f>36000-3000-3000-3000-3000-3000-3000-3000-3000</f>
        <v>12000</v>
      </c>
      <c r="L47" s="67"/>
      <c r="M47" s="67"/>
      <c r="N47" s="67"/>
      <c r="O47" s="67"/>
      <c r="P47" s="67"/>
      <c r="Q47" s="67"/>
      <c r="R47" s="67">
        <f>SUM(C47:Q47)</f>
        <v>71520</v>
      </c>
    </row>
    <row r="48" spans="1:18" ht="15" thickBot="1">
      <c r="A48" s="90" t="s">
        <v>36</v>
      </c>
      <c r="B48" s="61"/>
      <c r="C48" s="72">
        <f>SUM(C46:C47)</f>
        <v>158520</v>
      </c>
      <c r="D48" s="61">
        <f>SUM(D46:D47)</f>
        <v>0</v>
      </c>
      <c r="E48" s="61">
        <f>SUM(E45:E47)</f>
        <v>300720</v>
      </c>
      <c r="F48" s="61">
        <v>0</v>
      </c>
      <c r="G48" s="61">
        <f>SUM(G46:G47)</f>
        <v>271627</v>
      </c>
      <c r="H48" s="61">
        <f>SUM(H46)</f>
        <v>0</v>
      </c>
      <c r="I48" s="61">
        <f>SUM(I46:I47)</f>
        <v>44500</v>
      </c>
      <c r="J48" s="61">
        <v>0</v>
      </c>
      <c r="K48" s="61">
        <f>SUM(K46:K47)</f>
        <v>99360</v>
      </c>
      <c r="L48" s="61">
        <v>0</v>
      </c>
      <c r="M48" s="61"/>
      <c r="N48" s="61">
        <v>0</v>
      </c>
      <c r="O48" s="61">
        <v>0</v>
      </c>
      <c r="P48" s="61">
        <v>0</v>
      </c>
      <c r="Q48" s="61"/>
      <c r="R48" s="201">
        <f>SUM(C48:P48)</f>
        <v>874727</v>
      </c>
    </row>
    <row r="49" spans="1:18" ht="15" thickTop="1">
      <c r="A49" s="92" t="s">
        <v>276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74"/>
      <c r="R49" s="75"/>
    </row>
    <row r="50" spans="1:18" ht="14.25">
      <c r="A50" s="90" t="s">
        <v>277</v>
      </c>
      <c r="B50" s="76"/>
      <c r="C50" s="76">
        <f>220000-6763-40000</f>
        <v>173237</v>
      </c>
      <c r="D50" s="76"/>
      <c r="E50" s="76">
        <f>120000-10000</f>
        <v>110000</v>
      </c>
      <c r="F50" s="76"/>
      <c r="G50" s="76">
        <v>80000</v>
      </c>
      <c r="H50" s="76"/>
      <c r="I50" s="76">
        <v>10000</v>
      </c>
      <c r="J50" s="76"/>
      <c r="K50" s="76">
        <f>129000-2800-4900</f>
        <v>121300</v>
      </c>
      <c r="L50" s="76">
        <v>0</v>
      </c>
      <c r="M50" s="76"/>
      <c r="N50" s="76"/>
      <c r="O50" s="76"/>
      <c r="P50" s="70"/>
      <c r="Q50" s="76"/>
      <c r="R50" s="70">
        <f>SUM(C50:P50)</f>
        <v>494537</v>
      </c>
    </row>
    <row r="51" spans="1:18" ht="14.25">
      <c r="A51" s="89" t="s">
        <v>278</v>
      </c>
      <c r="B51" s="77"/>
      <c r="C51" s="77">
        <f>10000</f>
        <v>10000</v>
      </c>
      <c r="D51" s="77"/>
      <c r="E51" s="77">
        <f>10000-9660+21000+5000-7560-3780</f>
        <v>15000</v>
      </c>
      <c r="F51" s="77"/>
      <c r="G51" s="77">
        <v>5000</v>
      </c>
      <c r="H51" s="77"/>
      <c r="I51" s="77">
        <f>3000-3000</f>
        <v>0</v>
      </c>
      <c r="J51" s="77"/>
      <c r="K51" s="77">
        <v>5000</v>
      </c>
      <c r="L51" s="77"/>
      <c r="M51" s="77"/>
      <c r="N51" s="77"/>
      <c r="O51" s="77"/>
      <c r="P51" s="67"/>
      <c r="Q51" s="77"/>
      <c r="R51" s="67">
        <f>SUM(C51:P51)</f>
        <v>35000</v>
      </c>
    </row>
    <row r="52" spans="1:18" ht="14.25">
      <c r="A52" s="90" t="s">
        <v>279</v>
      </c>
      <c r="B52" s="76"/>
      <c r="C52" s="76">
        <f>170000-10000-10000-10000-10000-10000-10000-10000-10000</f>
        <v>90000</v>
      </c>
      <c r="D52" s="76"/>
      <c r="E52" s="76">
        <f>60000-3000-21000-3000-3000-3000-3000-3000-3000-3000</f>
        <v>15000</v>
      </c>
      <c r="F52" s="76"/>
      <c r="G52" s="76">
        <f>36000-3000-3000-3000-3000-3000-3000-3000-3000</f>
        <v>12000</v>
      </c>
      <c r="H52" s="76"/>
      <c r="I52" s="76"/>
      <c r="J52" s="76"/>
      <c r="K52" s="76">
        <f>84000-7500-7500-7500-7500-7500-7500-7500-7500</f>
        <v>24000</v>
      </c>
      <c r="L52" s="76"/>
      <c r="M52" s="76"/>
      <c r="N52" s="76"/>
      <c r="O52" s="76"/>
      <c r="P52" s="70"/>
      <c r="Q52" s="76"/>
      <c r="R52" s="70">
        <f>SUM(C52:P52)</f>
        <v>141000</v>
      </c>
    </row>
    <row r="53" spans="1:18" ht="14.25">
      <c r="A53" s="90" t="s">
        <v>280</v>
      </c>
      <c r="B53" s="76"/>
      <c r="C53" s="76">
        <f>65000-2671-8650</f>
        <v>53679</v>
      </c>
      <c r="D53" s="76"/>
      <c r="E53" s="76">
        <f>10000-5000-1000</f>
        <v>4000</v>
      </c>
      <c r="F53" s="76">
        <v>0</v>
      </c>
      <c r="G53" s="76">
        <v>0</v>
      </c>
      <c r="H53" s="76"/>
      <c r="I53" s="76"/>
      <c r="J53" s="76"/>
      <c r="K53" s="76"/>
      <c r="L53" s="76"/>
      <c r="M53" s="76"/>
      <c r="N53" s="186"/>
      <c r="O53" s="186"/>
      <c r="P53" s="70"/>
      <c r="Q53" s="76"/>
      <c r="R53" s="70">
        <f>SUM(C53:P53)</f>
        <v>57679</v>
      </c>
    </row>
    <row r="54" spans="1:18" ht="15" thickBot="1">
      <c r="A54" s="90" t="s">
        <v>36</v>
      </c>
      <c r="B54" s="93"/>
      <c r="C54" s="80">
        <f>SUM(C50:C53)</f>
        <v>326916</v>
      </c>
      <c r="D54" s="93">
        <v>0</v>
      </c>
      <c r="E54" s="93">
        <f>SUM(E50:E53)</f>
        <v>144000</v>
      </c>
      <c r="F54" s="93">
        <v>0</v>
      </c>
      <c r="G54" s="93">
        <f>SUM(G50:G53)</f>
        <v>97000</v>
      </c>
      <c r="H54" s="93">
        <v>0</v>
      </c>
      <c r="I54" s="93">
        <f>SUM(I50:I53)</f>
        <v>10000</v>
      </c>
      <c r="J54" s="93"/>
      <c r="K54" s="93">
        <f>SUM(K50:K53)</f>
        <v>150300</v>
      </c>
      <c r="L54" s="93">
        <f>SUM(L50:L53)</f>
        <v>0</v>
      </c>
      <c r="M54" s="93"/>
      <c r="N54" s="195">
        <v>0</v>
      </c>
      <c r="O54" s="195">
        <v>0</v>
      </c>
      <c r="P54" s="93">
        <v>0</v>
      </c>
      <c r="Q54" s="93"/>
      <c r="R54" s="72">
        <f>SUM(C54:P54)</f>
        <v>728216</v>
      </c>
    </row>
    <row r="55" spans="1:18" ht="15" thickTop="1">
      <c r="A55" s="94" t="s">
        <v>282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3"/>
      <c r="Q55" s="83"/>
      <c r="R55" s="84"/>
    </row>
    <row r="56" spans="1:18" ht="14.25">
      <c r="A56" s="94" t="s">
        <v>283</v>
      </c>
      <c r="B56" s="82"/>
      <c r="C56" s="82">
        <f>380000-12952-29679.7-21428-116514.35-32279.2-58957.95+40000-18014.35-22465</f>
        <v>107709.44999999998</v>
      </c>
      <c r="D56" s="82"/>
      <c r="E56" s="82">
        <f>50000-14600-13600-8600</f>
        <v>13200</v>
      </c>
      <c r="F56" s="82"/>
      <c r="G56" s="82">
        <f>45000-9572-9600</f>
        <v>25828</v>
      </c>
      <c r="H56" s="82"/>
      <c r="I56" s="82"/>
      <c r="J56" s="82"/>
      <c r="K56" s="82">
        <f>80000-14000-6800+2000-1800-15400</f>
        <v>44000</v>
      </c>
      <c r="L56" s="82">
        <f>300000-300000</f>
        <v>0</v>
      </c>
      <c r="M56" s="82"/>
      <c r="N56" s="82"/>
      <c r="O56" s="82"/>
      <c r="P56" s="83"/>
      <c r="Q56" s="82"/>
      <c r="R56" s="83">
        <f>SUM(C56:P56)</f>
        <v>190737.44999999998</v>
      </c>
    </row>
    <row r="57" spans="1:18" ht="14.25">
      <c r="A57" s="90" t="s">
        <v>284</v>
      </c>
      <c r="B57" s="76"/>
      <c r="C57" s="76">
        <f>58000-750-18500-1350-750</f>
        <v>36650</v>
      </c>
      <c r="D57" s="76"/>
      <c r="E57" s="76"/>
      <c r="F57" s="76"/>
      <c r="G57" s="76">
        <v>5000</v>
      </c>
      <c r="H57" s="76"/>
      <c r="I57" s="76"/>
      <c r="J57" s="76"/>
      <c r="K57" s="76"/>
      <c r="L57" s="76"/>
      <c r="M57" s="76"/>
      <c r="N57" s="76"/>
      <c r="O57" s="76"/>
      <c r="P57" s="70"/>
      <c r="Q57" s="76"/>
      <c r="R57" s="70">
        <f>SUM(C57:Q57)</f>
        <v>41650</v>
      </c>
    </row>
    <row r="58" spans="1:18" ht="14.25">
      <c r="A58" s="94" t="s">
        <v>285</v>
      </c>
      <c r="B58" s="76"/>
      <c r="C58" s="76">
        <f>757000-2080-16428-411356-2400-11520-2536</f>
        <v>310680</v>
      </c>
      <c r="D58" s="76">
        <v>20000</v>
      </c>
      <c r="E58" s="76">
        <f>30000-6080-13416</f>
        <v>10504</v>
      </c>
      <c r="F58" s="76">
        <f>240000-5250-4350</f>
        <v>230400</v>
      </c>
      <c r="G58" s="76">
        <f>50000-21924-9244</f>
        <v>18832</v>
      </c>
      <c r="H58" s="76">
        <f>582600-28370.04-48507.72-27007.72-35320.84-35426.24-800</f>
        <v>407167.44000000006</v>
      </c>
      <c r="I58" s="76"/>
      <c r="J58" s="76">
        <f>440000-3000-288000</f>
        <v>149000</v>
      </c>
      <c r="K58" s="76">
        <f>40000-5376-5948</f>
        <v>28676</v>
      </c>
      <c r="L58" s="76"/>
      <c r="M58" s="76"/>
      <c r="N58" s="76">
        <v>80000</v>
      </c>
      <c r="O58" s="76">
        <f>150000-60169-57420</f>
        <v>32411</v>
      </c>
      <c r="P58" s="70">
        <f>210000-5952-167215</f>
        <v>36833</v>
      </c>
      <c r="Q58" s="76"/>
      <c r="R58" s="70">
        <f>SUM(C58:P58)</f>
        <v>1324503.44</v>
      </c>
    </row>
    <row r="59" spans="1:18" ht="14.25">
      <c r="A59" s="94" t="s">
        <v>286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0"/>
      <c r="Q59" s="76"/>
      <c r="R59" s="70">
        <f>SUM(C59:Q59)</f>
        <v>0</v>
      </c>
    </row>
    <row r="60" spans="1:18" ht="15" thickBot="1">
      <c r="A60" s="90" t="s">
        <v>36</v>
      </c>
      <c r="B60" s="93"/>
      <c r="C60" s="80">
        <f>SUM(C56:C59)</f>
        <v>455039.44999999995</v>
      </c>
      <c r="D60" s="93">
        <f>SUM(D58:D59)</f>
        <v>20000</v>
      </c>
      <c r="E60" s="93">
        <f>SUM(E56:E59)</f>
        <v>23704</v>
      </c>
      <c r="F60" s="93">
        <f>SUM(F58)</f>
        <v>230400</v>
      </c>
      <c r="G60" s="93">
        <f>SUM(G56:G59)</f>
        <v>49660</v>
      </c>
      <c r="H60" s="93">
        <f>SUM(H56:H59)</f>
        <v>407167.44000000006</v>
      </c>
      <c r="I60" s="93">
        <f>SUM(I56:I59)</f>
        <v>0</v>
      </c>
      <c r="J60" s="93">
        <f>SUM(J58)</f>
        <v>149000</v>
      </c>
      <c r="K60" s="93">
        <f>SUM(K56:K59)</f>
        <v>72676</v>
      </c>
      <c r="L60" s="93">
        <f>SUM(L56:L59)</f>
        <v>0</v>
      </c>
      <c r="M60" s="93"/>
      <c r="N60" s="93">
        <f>SUM(N58)</f>
        <v>80000</v>
      </c>
      <c r="O60" s="93">
        <f>SUM(O58)</f>
        <v>32411</v>
      </c>
      <c r="P60" s="93">
        <f>SUM(P56:P59)</f>
        <v>36833</v>
      </c>
      <c r="Q60" s="93"/>
      <c r="R60" s="73">
        <f>SUM(C60:P60)</f>
        <v>1556890.8900000001</v>
      </c>
    </row>
    <row r="61" spans="1:18" ht="15" thickTop="1">
      <c r="A61" s="94" t="s">
        <v>287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3"/>
      <c r="O61" s="83"/>
      <c r="P61" s="83"/>
      <c r="Q61" s="83"/>
      <c r="R61" s="83"/>
    </row>
    <row r="62" spans="1:18" ht="14.25">
      <c r="A62" s="94" t="s">
        <v>288</v>
      </c>
      <c r="B62" s="82"/>
      <c r="C62" s="82"/>
      <c r="D62" s="82"/>
      <c r="E62" s="82">
        <f>100000-35728-21100-1900</f>
        <v>41272</v>
      </c>
      <c r="F62" s="82"/>
      <c r="G62" s="82">
        <f>20000-19134</f>
        <v>866</v>
      </c>
      <c r="H62" s="82"/>
      <c r="I62" s="82"/>
      <c r="J62" s="82"/>
      <c r="K62" s="82"/>
      <c r="L62" s="82"/>
      <c r="M62" s="82"/>
      <c r="N62" s="82"/>
      <c r="O62" s="82"/>
      <c r="P62" s="83"/>
      <c r="Q62" s="82"/>
      <c r="R62" s="83">
        <f>SUM(C62:P62)</f>
        <v>42138</v>
      </c>
    </row>
    <row r="63" spans="1:18" ht="14.25">
      <c r="A63" s="90" t="s">
        <v>289</v>
      </c>
      <c r="B63" s="76"/>
      <c r="C63" s="76"/>
      <c r="D63" s="76"/>
      <c r="E63" s="76"/>
      <c r="F63" s="76"/>
      <c r="G63" s="76"/>
      <c r="H63" s="76"/>
      <c r="I63" s="76"/>
      <c r="J63" s="76"/>
      <c r="K63" s="76">
        <v>60000</v>
      </c>
      <c r="L63" s="76"/>
      <c r="M63" s="76"/>
      <c r="N63" s="76"/>
      <c r="O63" s="76"/>
      <c r="P63" s="70"/>
      <c r="Q63" s="76"/>
      <c r="R63" s="70">
        <f>SUM(C63:Q63)</f>
        <v>60000</v>
      </c>
    </row>
    <row r="64" spans="1:18" ht="14.25">
      <c r="A64" s="94" t="s">
        <v>290</v>
      </c>
      <c r="B64" s="76"/>
      <c r="C64" s="76"/>
      <c r="D64" s="76"/>
      <c r="E64" s="76">
        <f>20000-300-400-400-440-14851+10000-270-225</f>
        <v>13114</v>
      </c>
      <c r="F64" s="76"/>
      <c r="G64" s="76">
        <f>20000-17844</f>
        <v>2156</v>
      </c>
      <c r="H64" s="76">
        <v>0</v>
      </c>
      <c r="I64" s="76"/>
      <c r="J64" s="76"/>
      <c r="K64" s="76"/>
      <c r="L64" s="76"/>
      <c r="M64" s="76"/>
      <c r="N64" s="76"/>
      <c r="O64" s="76"/>
      <c r="P64" s="70"/>
      <c r="Q64" s="76"/>
      <c r="R64" s="70">
        <f>SUM(C64:P64)</f>
        <v>15270</v>
      </c>
    </row>
    <row r="65" spans="1:18" ht="14.25">
      <c r="A65" s="94" t="s">
        <v>291</v>
      </c>
      <c r="B65" s="76"/>
      <c r="C65" s="76"/>
      <c r="D65" s="76"/>
      <c r="E65" s="76"/>
      <c r="F65" s="76"/>
      <c r="G65" s="76">
        <v>0</v>
      </c>
      <c r="H65" s="76">
        <f>1084570-77242.62-147128.8-195963.04-84599.06</f>
        <v>579636.48</v>
      </c>
      <c r="I65" s="76"/>
      <c r="J65" s="76"/>
      <c r="K65" s="76"/>
      <c r="L65" s="76"/>
      <c r="M65" s="76"/>
      <c r="N65" s="76"/>
      <c r="O65" s="76"/>
      <c r="P65" s="70"/>
      <c r="Q65" s="76"/>
      <c r="R65" s="70">
        <f aca="true" t="shared" si="1" ref="R65:R71">SUM(B65:Q65)</f>
        <v>579636.48</v>
      </c>
    </row>
    <row r="66" spans="1:18" ht="14.25">
      <c r="A66" s="94" t="s">
        <v>292</v>
      </c>
      <c r="B66" s="76"/>
      <c r="C66" s="76"/>
      <c r="D66" s="76"/>
      <c r="E66" s="76"/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6"/>
      <c r="P66" s="70"/>
      <c r="Q66" s="76"/>
      <c r="R66" s="70">
        <f t="shared" si="1"/>
        <v>0</v>
      </c>
    </row>
    <row r="67" spans="1:18" ht="14.25">
      <c r="A67" s="94" t="s">
        <v>293</v>
      </c>
      <c r="B67" s="76"/>
      <c r="C67" s="76"/>
      <c r="D67" s="76"/>
      <c r="E67" s="76"/>
      <c r="F67" s="76"/>
      <c r="G67" s="76"/>
      <c r="H67" s="76"/>
      <c r="I67" s="76"/>
      <c r="J67" s="76"/>
      <c r="K67" s="76">
        <v>20000</v>
      </c>
      <c r="L67" s="76"/>
      <c r="M67" s="76"/>
      <c r="N67" s="76"/>
      <c r="O67" s="76"/>
      <c r="P67" s="70"/>
      <c r="Q67" s="76"/>
      <c r="R67" s="70">
        <f t="shared" si="1"/>
        <v>20000</v>
      </c>
    </row>
    <row r="68" spans="1:18" ht="14.25">
      <c r="A68" s="94" t="s">
        <v>294</v>
      </c>
      <c r="B68" s="76"/>
      <c r="C68" s="76">
        <f>30000-21500</f>
        <v>8500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>
        <f t="shared" si="1"/>
        <v>8500</v>
      </c>
    </row>
    <row r="69" spans="1:18" ht="14.25">
      <c r="A69" s="94" t="s">
        <v>295</v>
      </c>
      <c r="B69" s="76"/>
      <c r="C69" s="76">
        <f>200000-9305-8860-6450-7895-4965-6830-9090</f>
        <v>146605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0"/>
      <c r="Q69" s="76"/>
      <c r="R69" s="70">
        <f t="shared" si="1"/>
        <v>146605</v>
      </c>
    </row>
    <row r="70" spans="1:18" ht="14.25">
      <c r="A70" s="94" t="s">
        <v>326</v>
      </c>
      <c r="B70" s="76"/>
      <c r="C70" s="76"/>
      <c r="D70" s="76"/>
      <c r="E70" s="76"/>
      <c r="F70" s="76"/>
      <c r="G70" s="76"/>
      <c r="H70" s="76">
        <v>0</v>
      </c>
      <c r="I70" s="76"/>
      <c r="J70" s="76"/>
      <c r="K70" s="76"/>
      <c r="L70" s="76"/>
      <c r="M70" s="76"/>
      <c r="N70" s="76"/>
      <c r="O70" s="76"/>
      <c r="P70" s="70"/>
      <c r="Q70" s="76"/>
      <c r="R70" s="70">
        <f t="shared" si="1"/>
        <v>0</v>
      </c>
    </row>
    <row r="71" spans="1:18" ht="14.25">
      <c r="A71" s="94" t="s">
        <v>296</v>
      </c>
      <c r="B71" s="76"/>
      <c r="C71" s="76">
        <f>5000-3946</f>
        <v>1054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 t="shared" si="1"/>
        <v>1054</v>
      </c>
    </row>
    <row r="72" spans="1:18" ht="14.25">
      <c r="A72" s="94" t="s">
        <v>327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>
        <v>0</v>
      </c>
      <c r="O72" s="76">
        <v>0</v>
      </c>
      <c r="P72" s="70"/>
      <c r="Q72" s="76"/>
      <c r="R72" s="70">
        <v>0</v>
      </c>
    </row>
    <row r="73" spans="1:18" ht="14.25">
      <c r="A73" s="94" t="s">
        <v>297</v>
      </c>
      <c r="B73" s="76"/>
      <c r="C73" s="76">
        <f>70000-13600-28000</f>
        <v>28400</v>
      </c>
      <c r="D73" s="76"/>
      <c r="E73" s="76">
        <f>100000-21250-9700</f>
        <v>69050</v>
      </c>
      <c r="F73" s="76"/>
      <c r="G73" s="76">
        <v>25000</v>
      </c>
      <c r="H73" s="76"/>
      <c r="I73" s="76"/>
      <c r="J73" s="76"/>
      <c r="K73" s="76">
        <f>30000-7850-8000</f>
        <v>14150</v>
      </c>
      <c r="L73" s="76"/>
      <c r="M73" s="76"/>
      <c r="N73" s="76"/>
      <c r="O73" s="76"/>
      <c r="P73" s="70"/>
      <c r="Q73" s="76"/>
      <c r="R73" s="70">
        <f>SUM(B73:Q73)</f>
        <v>136600</v>
      </c>
    </row>
    <row r="74" spans="1:18" ht="14.25">
      <c r="A74" s="94" t="s">
        <v>298</v>
      </c>
      <c r="B74" s="76"/>
      <c r="C74" s="76"/>
      <c r="D74" s="76"/>
      <c r="E74" s="76"/>
      <c r="F74" s="76"/>
      <c r="G74" s="76"/>
      <c r="H74" s="76">
        <v>30000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SUM(B74:Q74)</f>
        <v>30000</v>
      </c>
    </row>
    <row r="75" spans="1:18" ht="14.25">
      <c r="A75" s="94" t="s">
        <v>299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>
        <f>SUM(B75:Q75)</f>
        <v>0</v>
      </c>
    </row>
    <row r="76" spans="1:18" ht="15" thickBot="1">
      <c r="A76" s="90" t="s">
        <v>36</v>
      </c>
      <c r="B76" s="93"/>
      <c r="C76" s="80">
        <f>SUM(C62:C75)</f>
        <v>184559</v>
      </c>
      <c r="D76" s="93">
        <v>0</v>
      </c>
      <c r="E76" s="93">
        <f>SUM(E62:E75)</f>
        <v>123436</v>
      </c>
      <c r="F76" s="93">
        <v>0</v>
      </c>
      <c r="G76" s="93">
        <f>SUM(G62:G75)</f>
        <v>28022</v>
      </c>
      <c r="H76" s="93">
        <f>SUM(H62:H75)</f>
        <v>609636.48</v>
      </c>
      <c r="I76" s="93">
        <f>SUM(I62:I75)</f>
        <v>0</v>
      </c>
      <c r="J76" s="93">
        <v>0</v>
      </c>
      <c r="K76" s="93">
        <f>SUM(K63:K75)</f>
        <v>94150</v>
      </c>
      <c r="L76" s="93">
        <f>SUM(L63)</f>
        <v>0</v>
      </c>
      <c r="M76" s="93"/>
      <c r="N76" s="93">
        <f>SUM(N62:N75)</f>
        <v>0</v>
      </c>
      <c r="O76" s="93">
        <f>SUM(O62:O75)</f>
        <v>0</v>
      </c>
      <c r="P76" s="93">
        <v>0</v>
      </c>
      <c r="Q76" s="93"/>
      <c r="R76" s="73">
        <f>SUM(R62:R75)</f>
        <v>1039803.48</v>
      </c>
    </row>
    <row r="77" spans="1:18" ht="15" thickTop="1">
      <c r="A77" s="197"/>
      <c r="B77" s="198"/>
      <c r="C77" s="196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6"/>
    </row>
    <row r="78" spans="1:18" ht="14.25">
      <c r="A78" s="197"/>
      <c r="B78" s="198"/>
      <c r="C78" s="196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6"/>
    </row>
    <row r="79" spans="1:18" ht="14.25">
      <c r="A79" s="197"/>
      <c r="B79" s="198"/>
      <c r="C79" s="196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6"/>
    </row>
    <row r="82" spans="1:18" s="64" customFormat="1" ht="13.5" customHeight="1">
      <c r="A82" s="65" t="s">
        <v>115</v>
      </c>
      <c r="B82" s="349" t="s">
        <v>92</v>
      </c>
      <c r="C82" s="350" t="s">
        <v>93</v>
      </c>
      <c r="D82" s="350"/>
      <c r="E82" s="350"/>
      <c r="F82" s="87" t="s">
        <v>94</v>
      </c>
      <c r="G82" s="350" t="s">
        <v>95</v>
      </c>
      <c r="H82" s="350"/>
      <c r="I82" s="350" t="s">
        <v>96</v>
      </c>
      <c r="J82" s="350"/>
      <c r="K82" s="350" t="s">
        <v>98</v>
      </c>
      <c r="L82" s="350"/>
      <c r="M82" s="351" t="s">
        <v>392</v>
      </c>
      <c r="N82" s="352"/>
      <c r="O82" s="350" t="s">
        <v>99</v>
      </c>
      <c r="P82" s="350"/>
      <c r="Q82" s="214"/>
      <c r="R82" s="353" t="s">
        <v>19</v>
      </c>
    </row>
    <row r="83" spans="1:18" s="64" customFormat="1" ht="13.5" customHeight="1">
      <c r="A83" s="66" t="s">
        <v>116</v>
      </c>
      <c r="B83" s="349"/>
      <c r="C83" s="87" t="s">
        <v>100</v>
      </c>
      <c r="D83" s="87" t="s">
        <v>111</v>
      </c>
      <c r="E83" s="87" t="s">
        <v>101</v>
      </c>
      <c r="F83" s="87" t="s">
        <v>102</v>
      </c>
      <c r="G83" s="87" t="s">
        <v>103</v>
      </c>
      <c r="H83" s="87" t="s">
        <v>104</v>
      </c>
      <c r="I83" s="87" t="s">
        <v>105</v>
      </c>
      <c r="J83" s="87" t="s">
        <v>106</v>
      </c>
      <c r="K83" s="87" t="s">
        <v>107</v>
      </c>
      <c r="L83" s="87" t="s">
        <v>108</v>
      </c>
      <c r="M83" s="87" t="s">
        <v>467</v>
      </c>
      <c r="N83" s="87" t="s">
        <v>391</v>
      </c>
      <c r="O83" s="87" t="s">
        <v>109</v>
      </c>
      <c r="P83" s="87" t="s">
        <v>110</v>
      </c>
      <c r="Q83" s="192" t="s">
        <v>114</v>
      </c>
      <c r="R83" s="354"/>
    </row>
    <row r="84" spans="1:18" ht="13.5" customHeight="1">
      <c r="A84" s="92" t="s">
        <v>300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1:18" ht="13.5" customHeight="1">
      <c r="A85" s="94" t="s">
        <v>301</v>
      </c>
      <c r="B85" s="67"/>
      <c r="C85" s="67">
        <f>150000-12023.06-11297.35-13827.15-8077.4-20573.57-27088.74</f>
        <v>57112.729999999996</v>
      </c>
      <c r="D85" s="67"/>
      <c r="E85" s="67"/>
      <c r="F85" s="67"/>
      <c r="G85" s="67">
        <f>50000-1832-1291.78-1027.31-871.22-2465.91-2064.3</f>
        <v>40447.479999999996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>
        <f>SUM(C85:P85)</f>
        <v>97560.20999999999</v>
      </c>
    </row>
    <row r="86" spans="1:18" ht="13.5" customHeight="1">
      <c r="A86" s="90" t="s">
        <v>302</v>
      </c>
      <c r="B86" s="70"/>
      <c r="C86" s="70">
        <f>6000-234-438-432-438-330-444-756</f>
        <v>2928</v>
      </c>
      <c r="D86" s="70"/>
      <c r="E86" s="70"/>
      <c r="F86" s="70"/>
      <c r="G86" s="70">
        <f>5000-114-294-102-138-186-366-24</f>
        <v>3776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6704</v>
      </c>
    </row>
    <row r="87" spans="1:18" ht="13.5" customHeight="1">
      <c r="A87" s="90" t="s">
        <v>303</v>
      </c>
      <c r="B87" s="70"/>
      <c r="C87" s="70">
        <f>20000-1001.52-992.96-2043.7-1020.78-971.56-2097.2</f>
        <v>11872.279999999999</v>
      </c>
      <c r="D87" s="70"/>
      <c r="E87" s="70"/>
      <c r="F87" s="70"/>
      <c r="G87" s="70">
        <f>10000-428-428-856-428-428-856</f>
        <v>6576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SUM(C87:P87)</f>
        <v>18448.28</v>
      </c>
    </row>
    <row r="88" spans="1:18" ht="13.5" customHeight="1">
      <c r="A88" s="89" t="s">
        <v>304</v>
      </c>
      <c r="B88" s="70"/>
      <c r="C88" s="70">
        <f>20000-20000</f>
        <v>0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>
        <f>SUM(C88:Q88)</f>
        <v>0</v>
      </c>
    </row>
    <row r="89" spans="1:18" ht="13.5" customHeight="1">
      <c r="A89" s="90" t="s">
        <v>305</v>
      </c>
      <c r="B89" s="71"/>
      <c r="C89" s="71">
        <f>90000-5339.3-5339.3-10518.1-5243-5243-10486</f>
        <v>47831.29999999999</v>
      </c>
      <c r="D89" s="71"/>
      <c r="E89" s="71"/>
      <c r="F89" s="71"/>
      <c r="G89" s="71">
        <f>25000-1701.3-1701.3-3402.6-1701.3-1701.3-3402.6</f>
        <v>11389.600000000004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>
        <f>SUM(C89:P89)</f>
        <v>59220.899999999994</v>
      </c>
    </row>
    <row r="90" spans="1:18" ht="13.5" customHeight="1" thickBot="1">
      <c r="A90" s="90" t="s">
        <v>36</v>
      </c>
      <c r="B90" s="61"/>
      <c r="C90" s="61">
        <f>SUM(C85:C89)</f>
        <v>119744.30999999998</v>
      </c>
      <c r="D90" s="61">
        <v>0</v>
      </c>
      <c r="E90" s="61">
        <v>0</v>
      </c>
      <c r="F90" s="61">
        <v>0</v>
      </c>
      <c r="G90" s="61">
        <f>SUM(G85:G89)</f>
        <v>62189.08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>
        <v>0</v>
      </c>
      <c r="O90" s="61">
        <v>0</v>
      </c>
      <c r="P90" s="61">
        <v>0</v>
      </c>
      <c r="Q90" s="61"/>
      <c r="R90" s="72">
        <f>SUM(C90:P90)</f>
        <v>181933.38999999998</v>
      </c>
    </row>
    <row r="91" spans="1:18" ht="13.5" customHeight="1" thickTop="1">
      <c r="A91" s="92" t="s">
        <v>306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307</v>
      </c>
      <c r="B92" s="76"/>
      <c r="C92" s="76">
        <f>105600-86000</f>
        <v>19600</v>
      </c>
      <c r="D92" s="76"/>
      <c r="E92" s="76"/>
      <c r="F92" s="76"/>
      <c r="G92" s="76">
        <f>20000-20000</f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 aca="true" t="shared" si="2" ref="R92:R100">SUM(C92:Q92)</f>
        <v>19600</v>
      </c>
    </row>
    <row r="93" spans="1:18" ht="13.5" customHeight="1">
      <c r="A93" s="90" t="s">
        <v>477</v>
      </c>
      <c r="B93" s="76"/>
      <c r="C93" s="76">
        <v>787000</v>
      </c>
      <c r="D93" s="76"/>
      <c r="E93" s="76"/>
      <c r="F93" s="76"/>
      <c r="G93" s="76"/>
      <c r="H93" s="76"/>
      <c r="I93" s="76"/>
      <c r="J93" s="82"/>
      <c r="K93" s="76"/>
      <c r="L93" s="76"/>
      <c r="M93" s="76"/>
      <c r="N93" s="76"/>
      <c r="O93" s="76"/>
      <c r="P93" s="70"/>
      <c r="Q93" s="76"/>
      <c r="R93" s="70">
        <f>SUM(C93:Q93)</f>
        <v>787000</v>
      </c>
    </row>
    <row r="94" spans="1:18" ht="13.5" customHeight="1">
      <c r="A94" s="90" t="s">
        <v>308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>
        <f t="shared" si="2"/>
        <v>0</v>
      </c>
    </row>
    <row r="95" spans="1:18" ht="13.5" customHeight="1">
      <c r="A95" s="188" t="s">
        <v>309</v>
      </c>
      <c r="B95" s="76"/>
      <c r="C95" s="76"/>
      <c r="D95" s="76"/>
      <c r="E95" s="76"/>
      <c r="F95" s="76"/>
      <c r="G95" s="76">
        <v>0</v>
      </c>
      <c r="H95" s="76"/>
      <c r="I95" s="76"/>
      <c r="J95" s="76"/>
      <c r="K95" s="76"/>
      <c r="L95" s="76"/>
      <c r="M95" s="76"/>
      <c r="N95" s="76"/>
      <c r="O95" s="76"/>
      <c r="P95" s="70"/>
      <c r="Q95" s="76"/>
      <c r="R95" s="70">
        <f t="shared" si="2"/>
        <v>0</v>
      </c>
    </row>
    <row r="96" spans="1:18" ht="13.5" customHeight="1">
      <c r="A96" s="185" t="s">
        <v>310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>
        <f t="shared" si="2"/>
        <v>0</v>
      </c>
    </row>
    <row r="97" spans="1:18" ht="13.5" customHeight="1">
      <c r="A97" s="188" t="s">
        <v>311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0"/>
      <c r="Q97" s="76"/>
      <c r="R97" s="70">
        <f t="shared" si="2"/>
        <v>0</v>
      </c>
    </row>
    <row r="98" spans="1:18" ht="13.5" customHeight="1">
      <c r="A98" s="189" t="s">
        <v>312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3"/>
      <c r="Q98" s="82"/>
      <c r="R98" s="83">
        <f t="shared" si="2"/>
        <v>0</v>
      </c>
    </row>
    <row r="99" spans="1:18" ht="13.5" customHeight="1">
      <c r="A99" s="188" t="s">
        <v>313</v>
      </c>
      <c r="B99" s="76"/>
      <c r="C99" s="76"/>
      <c r="D99" s="76"/>
      <c r="E99" s="76"/>
      <c r="F99" s="76"/>
      <c r="G99" s="76">
        <v>0</v>
      </c>
      <c r="H99" s="76">
        <v>36000</v>
      </c>
      <c r="I99" s="76"/>
      <c r="J99" s="76"/>
      <c r="K99" s="76"/>
      <c r="L99" s="76"/>
      <c r="M99" s="76"/>
      <c r="N99" s="76"/>
      <c r="O99" s="76"/>
      <c r="P99" s="70"/>
      <c r="Q99" s="76"/>
      <c r="R99" s="70">
        <f t="shared" si="2"/>
        <v>36000</v>
      </c>
    </row>
    <row r="100" spans="1:18" ht="13.5" customHeight="1">
      <c r="A100" s="89" t="s">
        <v>314</v>
      </c>
      <c r="B100" s="77"/>
      <c r="C100" s="77">
        <f>100000-13417.27-1700-19750-12150-3860-13423.15</f>
        <v>35699.579999999994</v>
      </c>
      <c r="D100" s="77"/>
      <c r="E100" s="77">
        <f>30000-550-1200-900</f>
        <v>27350</v>
      </c>
      <c r="F100" s="77"/>
      <c r="G100" s="77">
        <f>80000-30000-1900-2400-4300</f>
        <v>41400</v>
      </c>
      <c r="H100" s="151"/>
      <c r="I100" s="77"/>
      <c r="J100" s="77"/>
      <c r="K100" s="77">
        <f>20000-1500-2300-1920-1200</f>
        <v>13080</v>
      </c>
      <c r="L100" s="77"/>
      <c r="M100" s="77"/>
      <c r="N100" s="77"/>
      <c r="O100" s="77"/>
      <c r="P100" s="67"/>
      <c r="Q100" s="77"/>
      <c r="R100" s="199">
        <f t="shared" si="2"/>
        <v>117529.57999999999</v>
      </c>
    </row>
    <row r="101" spans="1:18" ht="13.5" customHeight="1" thickBot="1">
      <c r="A101" s="90" t="s">
        <v>36</v>
      </c>
      <c r="B101" s="93"/>
      <c r="C101" s="93">
        <f>SUM(C92:C100)</f>
        <v>842299.58</v>
      </c>
      <c r="D101" s="93">
        <v>0</v>
      </c>
      <c r="E101" s="93">
        <f>SUM(E100)</f>
        <v>27350</v>
      </c>
      <c r="F101" s="93">
        <v>0</v>
      </c>
      <c r="G101" s="93">
        <f>SUM(G92:G100)</f>
        <v>41400</v>
      </c>
      <c r="H101" s="93">
        <f>SUM(H92:H100)</f>
        <v>36000</v>
      </c>
      <c r="I101" s="93">
        <f>SUM(I100)</f>
        <v>0</v>
      </c>
      <c r="J101" s="93"/>
      <c r="K101" s="93">
        <f>SUM(K92:K100)</f>
        <v>13080</v>
      </c>
      <c r="L101" s="93">
        <v>0</v>
      </c>
      <c r="M101" s="93"/>
      <c r="N101" s="93">
        <v>0</v>
      </c>
      <c r="O101" s="93">
        <v>0</v>
      </c>
      <c r="P101" s="93">
        <v>0</v>
      </c>
      <c r="Q101" s="93"/>
      <c r="R101" s="200">
        <f>SUM(R92:R100)</f>
        <v>960129.58</v>
      </c>
    </row>
    <row r="102" spans="1:18" ht="13.5" customHeight="1" thickTop="1">
      <c r="A102" s="94" t="s">
        <v>315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3"/>
    </row>
    <row r="103" spans="1:18" ht="13.5" customHeight="1">
      <c r="A103" s="94" t="s">
        <v>316</v>
      </c>
      <c r="B103" s="82"/>
      <c r="C103" s="82"/>
      <c r="D103" s="82"/>
      <c r="E103" s="82"/>
      <c r="F103" s="82"/>
      <c r="G103" s="82"/>
      <c r="H103" s="82">
        <v>0</v>
      </c>
      <c r="I103" s="82"/>
      <c r="J103" s="82"/>
      <c r="K103" s="82"/>
      <c r="L103" s="82"/>
      <c r="M103" s="82"/>
      <c r="N103" s="82"/>
      <c r="O103" s="82"/>
      <c r="P103" s="83"/>
      <c r="Q103" s="82"/>
      <c r="R103" s="83">
        <f>SUM(H103:Q103)</f>
        <v>0</v>
      </c>
    </row>
    <row r="104" spans="1:18" ht="13.5" customHeight="1">
      <c r="A104" s="94" t="s">
        <v>317</v>
      </c>
      <c r="B104" s="82"/>
      <c r="C104" s="82">
        <v>166000</v>
      </c>
      <c r="D104" s="82"/>
      <c r="E104" s="70"/>
      <c r="F104" s="82"/>
      <c r="G104" s="82"/>
      <c r="H104" s="82">
        <v>172000</v>
      </c>
      <c r="I104" s="82"/>
      <c r="J104" s="82"/>
      <c r="K104" s="82"/>
      <c r="L104" s="82"/>
      <c r="M104" s="82"/>
      <c r="N104" s="82"/>
      <c r="O104" s="82"/>
      <c r="P104" s="83"/>
      <c r="Q104" s="82"/>
      <c r="R104" s="83">
        <f>SUM(C104:H104)</f>
        <v>338000</v>
      </c>
    </row>
    <row r="105" spans="1:18" ht="13.5" customHeight="1">
      <c r="A105" s="94" t="s">
        <v>318</v>
      </c>
      <c r="B105" s="82"/>
      <c r="C105" s="82"/>
      <c r="D105" s="82"/>
      <c r="E105" s="67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3"/>
      <c r="Q105" s="82">
        <f>2590000-143000-891600</f>
        <v>1555400</v>
      </c>
      <c r="R105" s="83">
        <f>SUM(Q105)</f>
        <v>1555400</v>
      </c>
    </row>
    <row r="106" spans="1:18" ht="13.5" customHeight="1">
      <c r="A106" s="90" t="s">
        <v>389</v>
      </c>
      <c r="B106" s="76"/>
      <c r="C106" s="76"/>
      <c r="D106" s="76"/>
      <c r="E106" s="184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0"/>
      <c r="Q106" s="76">
        <v>0</v>
      </c>
      <c r="R106" s="70">
        <f>SUM(C106:Q106)</f>
        <v>0</v>
      </c>
    </row>
    <row r="107" spans="1:18" ht="13.5" customHeight="1" thickBot="1">
      <c r="A107" s="90" t="s">
        <v>36</v>
      </c>
      <c r="B107" s="93"/>
      <c r="C107" s="93">
        <f>SUM(C104:C106)</f>
        <v>166000</v>
      </c>
      <c r="D107" s="93">
        <v>0</v>
      </c>
      <c r="E107" s="93">
        <v>0</v>
      </c>
      <c r="F107" s="93">
        <v>0</v>
      </c>
      <c r="G107" s="93">
        <v>0</v>
      </c>
      <c r="H107" s="93">
        <f>SUM(H103:H106)</f>
        <v>172000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>
        <v>0</v>
      </c>
      <c r="O107" s="93">
        <v>0</v>
      </c>
      <c r="P107" s="93">
        <v>0</v>
      </c>
      <c r="Q107" s="93">
        <f>SUM(Q103:Q106)</f>
        <v>1555400</v>
      </c>
      <c r="R107" s="200">
        <f>SUM(R103:R106)</f>
        <v>1893400</v>
      </c>
    </row>
    <row r="108" spans="1:18" ht="13.5" customHeight="1" thickTop="1">
      <c r="A108" s="94" t="s">
        <v>319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3"/>
      <c r="Q108" s="82"/>
      <c r="R108" s="83"/>
    </row>
    <row r="109" spans="1:18" ht="13.5" customHeight="1">
      <c r="A109" s="94" t="s">
        <v>320</v>
      </c>
      <c r="B109" s="70"/>
      <c r="C109" s="76">
        <f>10000-10000</f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321</v>
      </c>
      <c r="B110" s="77"/>
      <c r="C110" s="76">
        <v>13000</v>
      </c>
      <c r="D110" s="76"/>
      <c r="E110" s="76"/>
      <c r="F110" s="76"/>
      <c r="G110" s="76">
        <f>1872000-384580-590940-304260</f>
        <v>592220</v>
      </c>
      <c r="H110" s="76"/>
      <c r="I110" s="76"/>
      <c r="J110" s="76"/>
      <c r="K110" s="76">
        <v>300000</v>
      </c>
      <c r="L110" s="76"/>
      <c r="M110" s="76"/>
      <c r="N110" s="76"/>
      <c r="O110" s="76"/>
      <c r="P110" s="76">
        <v>0</v>
      </c>
      <c r="Q110" s="70"/>
      <c r="R110" s="70">
        <f>SUM(C110:P110)</f>
        <v>905220</v>
      </c>
    </row>
    <row r="111" spans="1:18" ht="13.5" customHeight="1">
      <c r="A111" s="94" t="s">
        <v>390</v>
      </c>
      <c r="B111" s="77"/>
      <c r="C111" s="76"/>
      <c r="D111" s="76"/>
      <c r="E111" s="76"/>
      <c r="F111" s="76"/>
      <c r="G111" s="76"/>
      <c r="H111" s="76"/>
      <c r="I111" s="76">
        <v>90000</v>
      </c>
      <c r="J111" s="76"/>
      <c r="K111" s="76"/>
      <c r="L111" s="76"/>
      <c r="M111" s="76"/>
      <c r="N111" s="76"/>
      <c r="O111" s="76"/>
      <c r="P111" s="76">
        <v>20000</v>
      </c>
      <c r="Q111" s="70"/>
      <c r="R111" s="70">
        <f>SUM(I111)</f>
        <v>90000</v>
      </c>
    </row>
    <row r="112" spans="1:18" ht="13.5" customHeight="1">
      <c r="A112" s="90" t="s">
        <v>322</v>
      </c>
      <c r="B112" s="76"/>
      <c r="C112" s="76"/>
      <c r="D112" s="76"/>
      <c r="E112" s="76"/>
      <c r="F112" s="76"/>
      <c r="G112" s="76"/>
      <c r="H112" s="76"/>
      <c r="I112" s="76">
        <v>0</v>
      </c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 thickBot="1">
      <c r="A113" s="90" t="s">
        <v>36</v>
      </c>
      <c r="B113" s="93"/>
      <c r="C113" s="93">
        <f>SUM(C109:C112)</f>
        <v>13000</v>
      </c>
      <c r="D113" s="93">
        <v>0</v>
      </c>
      <c r="E113" s="93">
        <v>0</v>
      </c>
      <c r="F113" s="93">
        <v>0</v>
      </c>
      <c r="G113" s="93">
        <f>SUM(G110)</f>
        <v>592220</v>
      </c>
      <c r="H113" s="93">
        <f>SUM(H110)</f>
        <v>0</v>
      </c>
      <c r="I113" s="93">
        <f>SUM(I111:I112)</f>
        <v>90000</v>
      </c>
      <c r="J113" s="93">
        <v>0</v>
      </c>
      <c r="K113" s="93">
        <f>SUM(K110)</f>
        <v>300000</v>
      </c>
      <c r="L113" s="93">
        <f>SUM(L108:L112)</f>
        <v>0</v>
      </c>
      <c r="M113" s="93"/>
      <c r="N113" s="93">
        <f>SUM(N110:N112)</f>
        <v>0</v>
      </c>
      <c r="O113" s="93">
        <f>SUM(O110:O112)</f>
        <v>0</v>
      </c>
      <c r="P113" s="93">
        <f>SUM(P110:P112)</f>
        <v>20000</v>
      </c>
      <c r="Q113" s="93"/>
      <c r="R113" s="200">
        <f>SUM(C113:P113)</f>
        <v>1015220</v>
      </c>
    </row>
    <row r="114" spans="1:18" ht="13.5" customHeight="1" thickTop="1">
      <c r="A114" s="94" t="s">
        <v>323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3"/>
      <c r="Q114" s="82"/>
      <c r="R114" s="83"/>
    </row>
    <row r="115" spans="1:18" ht="13.5" customHeight="1">
      <c r="A115" s="94" t="s">
        <v>324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67"/>
      <c r="Q115" s="77"/>
      <c r="R115" s="67">
        <f>SUM(B115:P115)</f>
        <v>0</v>
      </c>
    </row>
    <row r="116" spans="1:18" ht="13.5" customHeight="1" thickBot="1">
      <c r="A116" s="90" t="s">
        <v>36</v>
      </c>
      <c r="B116" s="93">
        <v>0</v>
      </c>
      <c r="C116" s="93">
        <v>0</v>
      </c>
      <c r="D116" s="200">
        <f>SUM(D115)</f>
        <v>0</v>
      </c>
      <c r="E116" s="93">
        <v>0</v>
      </c>
      <c r="F116" s="93">
        <v>0</v>
      </c>
      <c r="G116" s="93">
        <v>0</v>
      </c>
      <c r="H116" s="93">
        <v>0</v>
      </c>
      <c r="I116" s="93">
        <v>0</v>
      </c>
      <c r="J116" s="93">
        <v>0</v>
      </c>
      <c r="K116" s="93">
        <v>0</v>
      </c>
      <c r="L116" s="93">
        <v>0</v>
      </c>
      <c r="M116" s="93"/>
      <c r="N116" s="93">
        <v>0</v>
      </c>
      <c r="O116" s="93">
        <v>0</v>
      </c>
      <c r="P116" s="93">
        <v>0</v>
      </c>
      <c r="Q116" s="93"/>
      <c r="R116" s="200">
        <f>SUM(B116:P116)</f>
        <v>0</v>
      </c>
    </row>
    <row r="117" spans="1:18" ht="13.5" customHeight="1" thickBot="1" thickTop="1">
      <c r="A117" s="91" t="s">
        <v>37</v>
      </c>
      <c r="B117" s="193">
        <f>SUM(B14)</f>
        <v>228812</v>
      </c>
      <c r="C117" s="194">
        <f>SUM(C14+C22+C27+C31+C48+C54+C60+C76+C90+C101+C107+C113)</f>
        <v>4047405.3400000003</v>
      </c>
      <c r="D117" s="194">
        <f>SUM(D14+D22+D27+D31+D48+D54+D60+D76+D90+D101+D107+D113+D116)</f>
        <v>20000</v>
      </c>
      <c r="E117" s="194">
        <f aca="true" t="shared" si="3" ref="E117:L117">SUM(E14+E22+E27+E31+E48+E54+E60+E76+E90+E101+E107+E113)</f>
        <v>993191</v>
      </c>
      <c r="F117" s="194">
        <f t="shared" si="3"/>
        <v>230400</v>
      </c>
      <c r="G117" s="194">
        <f t="shared" si="3"/>
        <v>1247158.08</v>
      </c>
      <c r="H117" s="194">
        <f t="shared" si="3"/>
        <v>1224803.92</v>
      </c>
      <c r="I117" s="194">
        <f t="shared" si="3"/>
        <v>376100</v>
      </c>
      <c r="J117" s="194">
        <f t="shared" si="3"/>
        <v>149000</v>
      </c>
      <c r="K117" s="194">
        <f t="shared" si="3"/>
        <v>990721</v>
      </c>
      <c r="L117" s="194">
        <f t="shared" si="3"/>
        <v>0</v>
      </c>
      <c r="M117" s="194"/>
      <c r="N117" s="194">
        <f>SUM(N14+N22+N27+N31+N48+N54+N60+N76+N90+N101+N107+N113)</f>
        <v>80000</v>
      </c>
      <c r="O117" s="194">
        <f>SUM(O14+O22+O27+O31+O48+O54+O60+O76+O90+O101+O107+O113)</f>
        <v>32411</v>
      </c>
      <c r="P117" s="194">
        <f>SUM(P14+P22+P27+P31+P48+P54+P60+P76+P90+P101+P107+P113)</f>
        <v>56833</v>
      </c>
      <c r="Q117" s="194">
        <f>SUM(Q14+Q22+Q27+Q31+Q48+Q54+Q60+Q76+Q90+Q101+Q107+Q113)</f>
        <v>1555400</v>
      </c>
      <c r="R117" s="193">
        <f>SUM(B117:Q117)</f>
        <v>11232235.34</v>
      </c>
    </row>
    <row r="118" ht="15" thickTop="1"/>
  </sheetData>
  <sheetProtection/>
  <mergeCells count="27">
    <mergeCell ref="M5:N5"/>
    <mergeCell ref="M43:N43"/>
    <mergeCell ref="M82:N82"/>
    <mergeCell ref="R43:R44"/>
    <mergeCell ref="B82:B83"/>
    <mergeCell ref="C82:E82"/>
    <mergeCell ref="G82:H82"/>
    <mergeCell ref="I82:J82"/>
    <mergeCell ref="K82:L82"/>
    <mergeCell ref="O82:P82"/>
    <mergeCell ref="R82:R83"/>
    <mergeCell ref="B43:B44"/>
    <mergeCell ref="C43:E43"/>
    <mergeCell ref="G43:H43"/>
    <mergeCell ref="I43:J43"/>
    <mergeCell ref="K43:L43"/>
    <mergeCell ref="O43:P43"/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97">
      <selection activeCell="C103" sqref="C103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140625" style="81" customWidth="1"/>
    <col min="12" max="12" width="7.421875" style="81" customWidth="1"/>
    <col min="13" max="13" width="7.140625" style="81" customWidth="1"/>
    <col min="14" max="14" width="7.421875" style="81" customWidth="1"/>
    <col min="15" max="15" width="7.57421875" style="81" customWidth="1"/>
    <col min="16" max="16" width="7.421875" style="62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7" t="s">
        <v>91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</row>
    <row r="2" spans="1:18" ht="16.5">
      <c r="A2" s="347" t="s">
        <v>402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</row>
    <row r="3" spans="1:18" ht="16.5">
      <c r="A3" s="347" t="s">
        <v>403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pans="1:18" ht="16.5">
      <c r="A4" s="348" t="s">
        <v>555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="123" customFormat="1" ht="14.25">
      <c r="Q5" s="191"/>
    </row>
    <row r="6" spans="1:18" s="64" customFormat="1" ht="14.25">
      <c r="A6" s="65" t="s">
        <v>115</v>
      </c>
      <c r="B6" s="349" t="s">
        <v>92</v>
      </c>
      <c r="C6" s="350" t="s">
        <v>93</v>
      </c>
      <c r="D6" s="350"/>
      <c r="E6" s="350"/>
      <c r="F6" s="87" t="s">
        <v>94</v>
      </c>
      <c r="G6" s="350" t="s">
        <v>95</v>
      </c>
      <c r="H6" s="350"/>
      <c r="I6" s="350" t="s">
        <v>96</v>
      </c>
      <c r="J6" s="350"/>
      <c r="K6" s="87" t="s">
        <v>97</v>
      </c>
      <c r="L6" s="350" t="s">
        <v>98</v>
      </c>
      <c r="M6" s="350"/>
      <c r="N6" s="350" t="s">
        <v>99</v>
      </c>
      <c r="O6" s="350"/>
      <c r="P6" s="351" t="s">
        <v>113</v>
      </c>
      <c r="Q6" s="352"/>
      <c r="R6" s="353" t="s">
        <v>19</v>
      </c>
    </row>
    <row r="7" spans="1:18" s="64" customFormat="1" ht="14.25">
      <c r="A7" s="66" t="s">
        <v>116</v>
      </c>
      <c r="B7" s="349"/>
      <c r="C7" s="87" t="s">
        <v>100</v>
      </c>
      <c r="D7" s="87" t="s">
        <v>111</v>
      </c>
      <c r="E7" s="87" t="s">
        <v>101</v>
      </c>
      <c r="F7" s="87" t="s">
        <v>102</v>
      </c>
      <c r="G7" s="87" t="s">
        <v>103</v>
      </c>
      <c r="H7" s="87" t="s">
        <v>104</v>
      </c>
      <c r="I7" s="87" t="s">
        <v>105</v>
      </c>
      <c r="J7" s="87" t="s">
        <v>106</v>
      </c>
      <c r="K7" s="87" t="s">
        <v>112</v>
      </c>
      <c r="L7" s="87" t="s">
        <v>107</v>
      </c>
      <c r="M7" s="87" t="s">
        <v>108</v>
      </c>
      <c r="N7" s="87" t="s">
        <v>109</v>
      </c>
      <c r="O7" s="87" t="s">
        <v>110</v>
      </c>
      <c r="P7" s="87" t="s">
        <v>325</v>
      </c>
      <c r="Q7" s="192" t="s">
        <v>114</v>
      </c>
      <c r="R7" s="354"/>
    </row>
    <row r="8" spans="1:18" ht="14.25">
      <c r="A8" s="88" t="s">
        <v>255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</row>
    <row r="9" spans="1:18" ht="14.25">
      <c r="A9" s="89" t="s">
        <v>256</v>
      </c>
      <c r="B9" s="67">
        <v>0</v>
      </c>
      <c r="C9" s="67"/>
      <c r="D9" s="67"/>
      <c r="E9" s="67" t="s">
        <v>253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>
        <f>SUM(B9:P9)</f>
        <v>0</v>
      </c>
    </row>
    <row r="10" spans="1:18" ht="14.25">
      <c r="A10" s="90" t="s">
        <v>257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SUM(B10:Q10)</f>
        <v>0</v>
      </c>
    </row>
    <row r="11" spans="1:18" ht="14.25">
      <c r="A11" s="90" t="s">
        <v>258</v>
      </c>
      <c r="B11" s="70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259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ht="14.25">
      <c r="A13" s="90" t="s">
        <v>260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>
        <f>SUM(B13:P13)</f>
        <v>0</v>
      </c>
    </row>
    <row r="14" spans="1:18" ht="14.25">
      <c r="A14" s="90" t="s">
        <v>504</v>
      </c>
      <c r="B14" s="86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>
        <f>SUM(B14:Q14)</f>
        <v>0</v>
      </c>
    </row>
    <row r="15" spans="1:18" ht="14.25">
      <c r="A15" s="90" t="s">
        <v>36</v>
      </c>
      <c r="B15" s="72">
        <f>SUM(B9:B14)</f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/>
      <c r="R15" s="72">
        <f>SUM(B15:Q15)</f>
        <v>0</v>
      </c>
    </row>
    <row r="16" spans="1:18" ht="15" thickBot="1">
      <c r="A16" s="91" t="s">
        <v>37</v>
      </c>
      <c r="B16" s="73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190"/>
      <c r="R16" s="73">
        <f>SUM(B16:P16)</f>
        <v>0</v>
      </c>
    </row>
    <row r="17" spans="1:18" ht="15" thickTop="1">
      <c r="A17" s="92" t="s">
        <v>261</v>
      </c>
      <c r="B17" s="74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  <c r="P17" s="74"/>
      <c r="Q17" s="74"/>
      <c r="R17" s="75"/>
    </row>
    <row r="18" spans="1:18" ht="14.25">
      <c r="A18" s="90" t="s">
        <v>262</v>
      </c>
      <c r="B18" s="76"/>
      <c r="C18" s="70">
        <v>0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0"/>
      <c r="P18" s="76"/>
      <c r="Q18" s="76"/>
      <c r="R18" s="70">
        <f aca="true" t="shared" si="0" ref="R18:R25">SUM(C18:P18)</f>
        <v>0</v>
      </c>
    </row>
    <row r="19" spans="1:18" ht="14.25">
      <c r="A19" s="89" t="s">
        <v>263</v>
      </c>
      <c r="B19" s="77"/>
      <c r="C19" s="77">
        <v>0</v>
      </c>
      <c r="D19" s="77"/>
      <c r="E19" s="77">
        <v>0</v>
      </c>
      <c r="F19" s="77"/>
      <c r="G19" s="77">
        <v>0</v>
      </c>
      <c r="H19" s="77"/>
      <c r="I19" s="77"/>
      <c r="J19" s="77"/>
      <c r="K19" s="77"/>
      <c r="L19" s="77">
        <v>0</v>
      </c>
      <c r="M19" s="77"/>
      <c r="N19" s="77"/>
      <c r="O19" s="67"/>
      <c r="P19" s="77"/>
      <c r="Q19" s="77"/>
      <c r="R19" s="67">
        <f t="shared" si="0"/>
        <v>0</v>
      </c>
    </row>
    <row r="20" spans="1:18" ht="14.25">
      <c r="A20" s="90" t="s">
        <v>264</v>
      </c>
      <c r="B20" s="76"/>
      <c r="C20" s="76">
        <v>0</v>
      </c>
      <c r="D20" s="76"/>
      <c r="E20" s="76">
        <v>0</v>
      </c>
      <c r="F20" s="76"/>
      <c r="G20" s="76">
        <v>0</v>
      </c>
      <c r="H20" s="76"/>
      <c r="I20" s="76"/>
      <c r="J20" s="76"/>
      <c r="K20" s="76"/>
      <c r="L20" s="76">
        <v>0</v>
      </c>
      <c r="M20" s="76"/>
      <c r="N20" s="76"/>
      <c r="O20" s="70"/>
      <c r="P20" s="76"/>
      <c r="Q20" s="76"/>
      <c r="R20" s="70">
        <f t="shared" si="0"/>
        <v>0</v>
      </c>
    </row>
    <row r="21" spans="1:18" ht="14.25">
      <c r="A21" s="90" t="s">
        <v>265</v>
      </c>
      <c r="B21" s="76"/>
      <c r="C21" s="70">
        <v>0</v>
      </c>
      <c r="D21" s="76"/>
      <c r="E21" s="76">
        <v>0</v>
      </c>
      <c r="F21" s="76"/>
      <c r="G21" s="76"/>
      <c r="H21" s="76"/>
      <c r="I21" s="76"/>
      <c r="J21" s="76"/>
      <c r="K21" s="76"/>
      <c r="L21" s="76">
        <v>0</v>
      </c>
      <c r="M21" s="76"/>
      <c r="N21" s="76"/>
      <c r="O21" s="70"/>
      <c r="P21" s="76"/>
      <c r="Q21" s="76"/>
      <c r="R21" s="70">
        <f t="shared" si="0"/>
        <v>0</v>
      </c>
    </row>
    <row r="22" spans="1:18" ht="14.25">
      <c r="A22" s="89" t="s">
        <v>266</v>
      </c>
      <c r="B22" s="77"/>
      <c r="C22" s="77"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67"/>
      <c r="P22" s="77"/>
      <c r="Q22" s="77"/>
      <c r="R22" s="67">
        <f t="shared" si="0"/>
        <v>0</v>
      </c>
    </row>
    <row r="23" spans="1:18" ht="14.25">
      <c r="A23" s="90" t="s">
        <v>267</v>
      </c>
      <c r="B23" s="76"/>
      <c r="C23" s="70">
        <v>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0"/>
      <c r="P23" s="76"/>
      <c r="Q23" s="76"/>
      <c r="R23" s="70">
        <f t="shared" si="0"/>
        <v>0</v>
      </c>
    </row>
    <row r="24" spans="1:18" ht="14.25">
      <c r="A24" s="90" t="s">
        <v>36</v>
      </c>
      <c r="B24" s="61"/>
      <c r="C24" s="79">
        <f>SUM(C18:C23)</f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/>
      <c r="R24" s="72">
        <f t="shared" si="0"/>
        <v>0</v>
      </c>
    </row>
    <row r="25" spans="1:18" ht="15" thickBot="1">
      <c r="A25" s="91" t="s">
        <v>37</v>
      </c>
      <c r="B25" s="93"/>
      <c r="C25" s="80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/>
      <c r="R25" s="73">
        <f t="shared" si="0"/>
        <v>0</v>
      </c>
    </row>
    <row r="26" spans="1:18" ht="15" thickTop="1">
      <c r="A26" s="89" t="s">
        <v>268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83"/>
      <c r="P26" s="77"/>
      <c r="Q26" s="77"/>
      <c r="R26" s="67"/>
    </row>
    <row r="27" spans="1:18" ht="14.25">
      <c r="A27" s="90" t="s">
        <v>269</v>
      </c>
      <c r="B27" s="76"/>
      <c r="C27" s="76">
        <v>0</v>
      </c>
      <c r="D27" s="76"/>
      <c r="E27" s="76">
        <v>0</v>
      </c>
      <c r="F27" s="76"/>
      <c r="G27" s="76">
        <v>0</v>
      </c>
      <c r="H27" s="76"/>
      <c r="I27" s="76"/>
      <c r="J27" s="76"/>
      <c r="K27" s="76"/>
      <c r="L27" s="76">
        <v>0</v>
      </c>
      <c r="M27" s="76"/>
      <c r="N27" s="76"/>
      <c r="O27" s="70"/>
      <c r="P27" s="76"/>
      <c r="Q27" s="76"/>
      <c r="R27" s="70">
        <f>SUM(C27:P27)</f>
        <v>0</v>
      </c>
    </row>
    <row r="28" spans="1:18" ht="14.25">
      <c r="A28" s="90" t="s">
        <v>270</v>
      </c>
      <c r="B28" s="76"/>
      <c r="C28" s="76">
        <v>0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0"/>
      <c r="P28" s="76"/>
      <c r="Q28" s="76"/>
      <c r="R28" s="70">
        <f>SUM(C28:P28)</f>
        <v>0</v>
      </c>
    </row>
    <row r="29" spans="1:18" ht="14.25">
      <c r="A29" s="89" t="s">
        <v>271</v>
      </c>
      <c r="B29" s="77"/>
      <c r="C29" s="77">
        <v>0</v>
      </c>
      <c r="D29" s="77"/>
      <c r="E29" s="77">
        <v>0</v>
      </c>
      <c r="F29" s="77"/>
      <c r="G29" s="77">
        <v>0</v>
      </c>
      <c r="H29" s="77" t="s">
        <v>253</v>
      </c>
      <c r="I29" s="77"/>
      <c r="J29" s="77"/>
      <c r="K29" s="77"/>
      <c r="L29" s="77">
        <v>0</v>
      </c>
      <c r="M29" s="77"/>
      <c r="N29" s="77"/>
      <c r="O29" s="67"/>
      <c r="P29" s="77"/>
      <c r="Q29" s="77"/>
      <c r="R29" s="67">
        <f>SUM(C29:Q29)</f>
        <v>0</v>
      </c>
    </row>
    <row r="30" spans="1:18" ht="14.25">
      <c r="A30" s="90" t="s">
        <v>36</v>
      </c>
      <c r="B30" s="61"/>
      <c r="C30" s="79">
        <f>SUM(C27:C29)</f>
        <v>0</v>
      </c>
      <c r="D30" s="61">
        <v>0</v>
      </c>
      <c r="E30" s="61">
        <f>SUM(E27:E29)</f>
        <v>0</v>
      </c>
      <c r="F30" s="61">
        <v>0</v>
      </c>
      <c r="G30" s="61">
        <f>SUM(G29)</f>
        <v>0</v>
      </c>
      <c r="H30" s="61">
        <v>0</v>
      </c>
      <c r="I30" s="61">
        <v>0</v>
      </c>
      <c r="J30" s="61">
        <v>0</v>
      </c>
      <c r="K30" s="61">
        <v>0</v>
      </c>
      <c r="L30" s="61">
        <f>SUM(L27:L29)</f>
        <v>0</v>
      </c>
      <c r="M30" s="61">
        <v>0</v>
      </c>
      <c r="N30" s="61">
        <v>0</v>
      </c>
      <c r="O30" s="61">
        <v>0</v>
      </c>
      <c r="P30" s="61">
        <v>0</v>
      </c>
      <c r="Q30" s="61"/>
      <c r="R30" s="61">
        <f>SUM(C30:P30)</f>
        <v>0</v>
      </c>
    </row>
    <row r="31" spans="1:18" ht="15" thickBot="1">
      <c r="A31" s="91" t="s">
        <v>37</v>
      </c>
      <c r="B31" s="93"/>
      <c r="C31" s="80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/>
      <c r="R31" s="93">
        <v>0</v>
      </c>
    </row>
    <row r="32" spans="1:18" ht="15" thickTop="1">
      <c r="A32" s="89" t="s">
        <v>268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67"/>
      <c r="P32" s="77"/>
      <c r="Q32" s="77"/>
      <c r="R32" s="84"/>
    </row>
    <row r="33" spans="1:18" ht="14.25">
      <c r="A33" s="90" t="s">
        <v>272</v>
      </c>
      <c r="B33" s="76"/>
      <c r="C33" s="76">
        <v>0</v>
      </c>
      <c r="D33" s="76"/>
      <c r="E33" s="76">
        <v>0</v>
      </c>
      <c r="F33" s="76"/>
      <c r="G33" s="76">
        <v>0</v>
      </c>
      <c r="H33" s="76"/>
      <c r="I33" s="76">
        <v>0</v>
      </c>
      <c r="J33" s="76"/>
      <c r="K33" s="76"/>
      <c r="L33" s="76">
        <v>0</v>
      </c>
      <c r="M33" s="76"/>
      <c r="N33" s="76"/>
      <c r="O33" s="70"/>
      <c r="P33" s="76"/>
      <c r="Q33" s="76"/>
      <c r="R33" s="70">
        <f>SUM(C33:P33)</f>
        <v>0</v>
      </c>
    </row>
    <row r="34" spans="1:18" ht="14.25">
      <c r="A34" s="89" t="s">
        <v>273</v>
      </c>
      <c r="B34" s="78"/>
      <c r="C34" s="77">
        <v>0</v>
      </c>
      <c r="D34" s="77"/>
      <c r="E34" s="77">
        <v>0</v>
      </c>
      <c r="F34" s="77"/>
      <c r="G34" s="77">
        <v>0</v>
      </c>
      <c r="H34" s="77"/>
      <c r="I34" s="77">
        <v>0</v>
      </c>
      <c r="J34" s="77"/>
      <c r="K34" s="77"/>
      <c r="L34" s="77">
        <v>0</v>
      </c>
      <c r="M34" s="77"/>
      <c r="N34" s="77"/>
      <c r="O34" s="67"/>
      <c r="P34" s="77"/>
      <c r="Q34" s="77"/>
      <c r="R34" s="67">
        <f>SUM(C34:P34)</f>
        <v>0</v>
      </c>
    </row>
    <row r="35" spans="1:18" ht="14.25">
      <c r="A35" s="90" t="s">
        <v>36</v>
      </c>
      <c r="B35" s="61"/>
      <c r="C35" s="79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/>
      <c r="R35" s="72">
        <f>SUM(C35:P35)</f>
        <v>0</v>
      </c>
    </row>
    <row r="36" spans="1:18" ht="15" thickBot="1">
      <c r="A36" s="91" t="s">
        <v>37</v>
      </c>
      <c r="B36" s="93"/>
      <c r="C36" s="7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/>
      <c r="R36" s="73">
        <f>SUM(C36:P36)</f>
        <v>0</v>
      </c>
    </row>
    <row r="37" ht="15" thickTop="1">
      <c r="C37" s="183"/>
    </row>
    <row r="41" spans="1:18" s="64" customFormat="1" ht="14.25">
      <c r="A41" s="65" t="s">
        <v>115</v>
      </c>
      <c r="B41" s="349" t="s">
        <v>92</v>
      </c>
      <c r="C41" s="350" t="s">
        <v>93</v>
      </c>
      <c r="D41" s="350"/>
      <c r="E41" s="350"/>
      <c r="F41" s="87" t="s">
        <v>94</v>
      </c>
      <c r="G41" s="350" t="s">
        <v>95</v>
      </c>
      <c r="H41" s="350"/>
      <c r="I41" s="350" t="s">
        <v>96</v>
      </c>
      <c r="J41" s="350"/>
      <c r="K41" s="87" t="s">
        <v>97</v>
      </c>
      <c r="L41" s="350" t="s">
        <v>98</v>
      </c>
      <c r="M41" s="350"/>
      <c r="N41" s="350" t="s">
        <v>99</v>
      </c>
      <c r="O41" s="350"/>
      <c r="P41" s="351" t="s">
        <v>113</v>
      </c>
      <c r="Q41" s="352"/>
      <c r="R41" s="353" t="s">
        <v>19</v>
      </c>
    </row>
    <row r="42" spans="1:18" s="64" customFormat="1" ht="14.25">
      <c r="A42" s="66" t="s">
        <v>116</v>
      </c>
      <c r="B42" s="349"/>
      <c r="C42" s="87" t="s">
        <v>100</v>
      </c>
      <c r="D42" s="87" t="s">
        <v>111</v>
      </c>
      <c r="E42" s="87" t="s">
        <v>101</v>
      </c>
      <c r="F42" s="87" t="s">
        <v>102</v>
      </c>
      <c r="G42" s="87" t="s">
        <v>103</v>
      </c>
      <c r="H42" s="87" t="s">
        <v>104</v>
      </c>
      <c r="I42" s="87" t="s">
        <v>105</v>
      </c>
      <c r="J42" s="87" t="s">
        <v>106</v>
      </c>
      <c r="K42" s="87" t="s">
        <v>112</v>
      </c>
      <c r="L42" s="87" t="s">
        <v>107</v>
      </c>
      <c r="M42" s="87" t="s">
        <v>108</v>
      </c>
      <c r="N42" s="87" t="s">
        <v>109</v>
      </c>
      <c r="O42" s="87" t="s">
        <v>110</v>
      </c>
      <c r="P42" s="87" t="s">
        <v>325</v>
      </c>
      <c r="Q42" s="192" t="s">
        <v>114</v>
      </c>
      <c r="R42" s="354"/>
    </row>
    <row r="43" spans="1:18" ht="14.25">
      <c r="A43" s="92" t="s">
        <v>268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274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0</v>
      </c>
      <c r="I44" s="70">
        <v>0</v>
      </c>
      <c r="J44" s="70"/>
      <c r="K44" s="70"/>
      <c r="L44" s="70">
        <v>0</v>
      </c>
      <c r="M44" s="70"/>
      <c r="N44" s="70"/>
      <c r="O44" s="70"/>
      <c r="P44" s="70"/>
      <c r="Q44" s="70"/>
      <c r="R44" s="70">
        <f>SUM(C44:P44)</f>
        <v>0</v>
      </c>
    </row>
    <row r="45" spans="1:18" ht="14.25">
      <c r="A45" s="94" t="s">
        <v>275</v>
      </c>
      <c r="B45" s="67"/>
      <c r="C45" s="67">
        <v>0</v>
      </c>
      <c r="D45" s="67"/>
      <c r="E45" s="67">
        <v>0</v>
      </c>
      <c r="F45" s="67"/>
      <c r="G45" s="67">
        <v>0</v>
      </c>
      <c r="H45" s="67"/>
      <c r="I45" s="67">
        <v>0</v>
      </c>
      <c r="J45" s="67"/>
      <c r="K45" s="67"/>
      <c r="L45" s="67">
        <v>0</v>
      </c>
      <c r="M45" s="67"/>
      <c r="N45" s="67"/>
      <c r="O45" s="67"/>
      <c r="P45" s="67"/>
      <c r="Q45" s="67"/>
      <c r="R45" s="67">
        <f>SUM(C45:P45)</f>
        <v>0</v>
      </c>
    </row>
    <row r="46" spans="1:18" ht="14.25">
      <c r="A46" s="90" t="s">
        <v>36</v>
      </c>
      <c r="B46" s="61"/>
      <c r="C46" s="72">
        <v>0</v>
      </c>
      <c r="D46" s="61">
        <v>0</v>
      </c>
      <c r="E46" s="61">
        <f>SUM(E44:E45)</f>
        <v>0</v>
      </c>
      <c r="F46" s="61">
        <v>0</v>
      </c>
      <c r="G46" s="61">
        <f>SUM(G44:G45)</f>
        <v>0</v>
      </c>
      <c r="H46" s="61">
        <f>SUM(H44:H45)</f>
        <v>0</v>
      </c>
      <c r="I46" s="61">
        <f>SUM(I44:I45)</f>
        <v>0</v>
      </c>
      <c r="J46" s="61">
        <v>0</v>
      </c>
      <c r="K46" s="61">
        <v>0</v>
      </c>
      <c r="L46" s="61">
        <f>SUM(L44:L45)</f>
        <v>0</v>
      </c>
      <c r="M46" s="61">
        <v>0</v>
      </c>
      <c r="N46" s="61">
        <v>0</v>
      </c>
      <c r="O46" s="61">
        <v>0</v>
      </c>
      <c r="P46" s="61">
        <v>0</v>
      </c>
      <c r="Q46" s="61"/>
      <c r="R46" s="61">
        <f>SUM(C46:P46)</f>
        <v>0</v>
      </c>
    </row>
    <row r="47" spans="1:18" ht="15" thickBot="1">
      <c r="A47" s="91" t="s">
        <v>37</v>
      </c>
      <c r="B47" s="93"/>
      <c r="C47" s="73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/>
      <c r="R47" s="61">
        <f>SUM(C47:P47)</f>
        <v>0</v>
      </c>
    </row>
    <row r="48" spans="1:18" ht="15" thickTop="1">
      <c r="A48" s="92" t="s">
        <v>276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4"/>
      <c r="Q48" s="74"/>
      <c r="R48" s="75"/>
    </row>
    <row r="49" spans="1:18" ht="14.25">
      <c r="A49" s="90" t="s">
        <v>277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/>
      <c r="L49" s="76">
        <v>0</v>
      </c>
      <c r="M49" s="76">
        <v>0</v>
      </c>
      <c r="N49" s="76"/>
      <c r="O49" s="70"/>
      <c r="P49" s="76"/>
      <c r="Q49" s="76"/>
      <c r="R49" s="70">
        <f aca="true" t="shared" si="1" ref="R49:R55">SUM(C49:P49)</f>
        <v>0</v>
      </c>
    </row>
    <row r="50" spans="1:18" ht="14.25">
      <c r="A50" s="89" t="s">
        <v>278</v>
      </c>
      <c r="B50" s="77"/>
      <c r="C50" s="77">
        <v>0</v>
      </c>
      <c r="D50" s="77"/>
      <c r="E50" s="77">
        <v>0</v>
      </c>
      <c r="F50" s="77"/>
      <c r="G50" s="77"/>
      <c r="H50" s="77"/>
      <c r="I50" s="77" t="s">
        <v>253</v>
      </c>
      <c r="J50" s="77"/>
      <c r="K50" s="77"/>
      <c r="L50" s="77"/>
      <c r="M50" s="77"/>
      <c r="N50" s="77"/>
      <c r="O50" s="67"/>
      <c r="P50" s="77"/>
      <c r="Q50" s="77"/>
      <c r="R50" s="67">
        <f>SUM(C50:E50)</f>
        <v>0</v>
      </c>
    </row>
    <row r="51" spans="1:18" ht="14.25">
      <c r="A51" s="90" t="s">
        <v>279</v>
      </c>
      <c r="B51" s="76"/>
      <c r="C51" s="76">
        <v>0</v>
      </c>
      <c r="D51" s="76"/>
      <c r="E51" s="76">
        <v>0</v>
      </c>
      <c r="F51" s="76"/>
      <c r="G51" s="76">
        <v>0</v>
      </c>
      <c r="H51" s="76"/>
      <c r="I51" s="76"/>
      <c r="J51" s="76"/>
      <c r="K51" s="76"/>
      <c r="L51" s="76">
        <v>0</v>
      </c>
      <c r="M51" s="76"/>
      <c r="N51" s="76"/>
      <c r="O51" s="70"/>
      <c r="P51" s="76"/>
      <c r="Q51" s="76"/>
      <c r="R51" s="70">
        <f>SUM(C51:Q51)</f>
        <v>0</v>
      </c>
    </row>
    <row r="52" spans="1:18" ht="14.25">
      <c r="A52" s="90" t="s">
        <v>280</v>
      </c>
      <c r="B52" s="76"/>
      <c r="C52" s="76">
        <v>0</v>
      </c>
      <c r="D52" s="76"/>
      <c r="E52" s="76">
        <v>0</v>
      </c>
      <c r="F52" s="76">
        <v>0</v>
      </c>
      <c r="G52" s="76">
        <v>0</v>
      </c>
      <c r="H52" s="76"/>
      <c r="I52" s="76"/>
      <c r="J52" s="76"/>
      <c r="K52" s="76"/>
      <c r="L52" s="76">
        <v>0</v>
      </c>
      <c r="M52" s="76"/>
      <c r="N52" s="186"/>
      <c r="O52" s="70"/>
      <c r="P52" s="76"/>
      <c r="Q52" s="76"/>
      <c r="R52" s="70">
        <f t="shared" si="1"/>
        <v>0</v>
      </c>
    </row>
    <row r="53" spans="1:18" ht="14.25">
      <c r="A53" s="124" t="s">
        <v>281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187"/>
      <c r="O53" s="71"/>
      <c r="P53" s="78"/>
      <c r="Q53" s="78"/>
      <c r="R53" s="86">
        <v>0</v>
      </c>
    </row>
    <row r="54" spans="1:18" ht="14.25">
      <c r="A54" s="90" t="s">
        <v>36</v>
      </c>
      <c r="B54" s="61"/>
      <c r="C54" s="79">
        <v>0</v>
      </c>
      <c r="D54" s="61">
        <v>0</v>
      </c>
      <c r="E54" s="61">
        <f>SUM(E49:E53)</f>
        <v>0</v>
      </c>
      <c r="F54" s="61">
        <v>0</v>
      </c>
      <c r="G54" s="61">
        <f>SUM(G49+G51)</f>
        <v>0</v>
      </c>
      <c r="H54" s="61">
        <v>0</v>
      </c>
      <c r="I54" s="61">
        <f>SUM(I49)</f>
        <v>0</v>
      </c>
      <c r="J54" s="61">
        <v>0</v>
      </c>
      <c r="K54" s="61">
        <v>0</v>
      </c>
      <c r="L54" s="61">
        <f>SUM(L49)</f>
        <v>0</v>
      </c>
      <c r="M54" s="61">
        <f>SUM(M49:M52)</f>
        <v>0</v>
      </c>
      <c r="N54" s="61">
        <v>0</v>
      </c>
      <c r="O54" s="61">
        <v>0</v>
      </c>
      <c r="P54" s="61">
        <v>0</v>
      </c>
      <c r="Q54" s="61"/>
      <c r="R54" s="72">
        <f t="shared" si="1"/>
        <v>0</v>
      </c>
    </row>
    <row r="55" spans="1:18" ht="15" thickBot="1">
      <c r="A55" s="91" t="s">
        <v>37</v>
      </c>
      <c r="B55" s="93"/>
      <c r="C55" s="80">
        <f>-36220</f>
        <v>-36220</v>
      </c>
      <c r="D55" s="93">
        <v>0</v>
      </c>
      <c r="E55" s="93">
        <f>-13780</f>
        <v>-13780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61">
        <v>0</v>
      </c>
      <c r="P55" s="93">
        <v>0</v>
      </c>
      <c r="Q55" s="93"/>
      <c r="R55" s="73">
        <f t="shared" si="1"/>
        <v>-50000</v>
      </c>
    </row>
    <row r="56" spans="1:18" ht="15" thickTop="1">
      <c r="A56" s="94" t="s">
        <v>282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3"/>
      <c r="O56" s="84"/>
      <c r="P56" s="83"/>
      <c r="Q56" s="83"/>
      <c r="R56" s="84"/>
    </row>
    <row r="57" spans="1:18" ht="14.25">
      <c r="A57" s="94" t="s">
        <v>283</v>
      </c>
      <c r="B57" s="215" t="s">
        <v>395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>
        <v>0</v>
      </c>
      <c r="M57" s="82"/>
      <c r="N57" s="82"/>
      <c r="O57" s="83"/>
      <c r="P57" s="82"/>
      <c r="Q57" s="82"/>
      <c r="R57" s="83">
        <f>SUM(C57:P57)</f>
        <v>0</v>
      </c>
    </row>
    <row r="58" spans="1:18" ht="14.25">
      <c r="A58" s="90" t="s">
        <v>284</v>
      </c>
      <c r="B58" s="76"/>
      <c r="C58" s="76">
        <v>0</v>
      </c>
      <c r="D58" s="76"/>
      <c r="E58" s="76" t="s">
        <v>401</v>
      </c>
      <c r="F58" s="76"/>
      <c r="G58" s="76"/>
      <c r="H58" s="76"/>
      <c r="I58" s="76"/>
      <c r="J58" s="76"/>
      <c r="K58" s="76"/>
      <c r="L58" s="76"/>
      <c r="M58" s="76"/>
      <c r="N58" s="76"/>
      <c r="O58" s="70"/>
      <c r="P58" s="76"/>
      <c r="Q58" s="76"/>
      <c r="R58" s="70">
        <f>SUM(C58:Q58)</f>
        <v>0</v>
      </c>
    </row>
    <row r="59" spans="1:18" ht="14.25">
      <c r="A59" s="94" t="s">
        <v>285</v>
      </c>
      <c r="B59" s="76"/>
      <c r="C59" s="76">
        <f>-30000+30000</f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/>
      <c r="L59" s="76"/>
      <c r="M59" s="76"/>
      <c r="N59" s="76">
        <v>0</v>
      </c>
      <c r="O59" s="70">
        <v>0</v>
      </c>
      <c r="P59" s="76"/>
      <c r="Q59" s="76"/>
      <c r="R59" s="70">
        <f>SUM(C59:Q59)</f>
        <v>0</v>
      </c>
    </row>
    <row r="60" spans="1:18" ht="14.25">
      <c r="A60" s="94" t="s">
        <v>286</v>
      </c>
      <c r="B60" s="76"/>
      <c r="C60" s="76">
        <v>0</v>
      </c>
      <c r="D60" s="76"/>
      <c r="E60" s="76">
        <v>0</v>
      </c>
      <c r="F60" s="76"/>
      <c r="G60" s="76">
        <v>0</v>
      </c>
      <c r="H60" s="76"/>
      <c r="I60" s="76"/>
      <c r="J60" s="76"/>
      <c r="K60" s="76"/>
      <c r="L60" s="76">
        <v>0</v>
      </c>
      <c r="M60" s="76"/>
      <c r="N60" s="76"/>
      <c r="O60" s="70"/>
      <c r="P60" s="76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0</v>
      </c>
      <c r="D61" s="61">
        <f>SUM(D59:D60)</f>
        <v>0</v>
      </c>
      <c r="E61" s="61">
        <f>SUM(E59:E60)</f>
        <v>0</v>
      </c>
      <c r="F61" s="61">
        <f>SUM(F59)</f>
        <v>0</v>
      </c>
      <c r="G61" s="61">
        <f>SUM(G57)</f>
        <v>0</v>
      </c>
      <c r="H61" s="61">
        <v>0</v>
      </c>
      <c r="I61" s="61">
        <v>0</v>
      </c>
      <c r="J61" s="61">
        <f>SUM(J59)</f>
        <v>0</v>
      </c>
      <c r="K61" s="61">
        <v>0</v>
      </c>
      <c r="L61" s="61">
        <f>SUM(L57:L60)</f>
        <v>0</v>
      </c>
      <c r="M61" s="61">
        <v>0</v>
      </c>
      <c r="N61" s="61">
        <v>0</v>
      </c>
      <c r="O61" s="61">
        <f>SUM(O57:O60)</f>
        <v>0</v>
      </c>
      <c r="P61" s="61"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f>40000</f>
        <v>40000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40000</v>
      </c>
    </row>
    <row r="63" spans="1:18" ht="15" thickTop="1">
      <c r="A63" s="94" t="s">
        <v>287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84"/>
      <c r="P63" s="83"/>
      <c r="Q63" s="83"/>
      <c r="R63" s="84"/>
    </row>
    <row r="64" spans="1:18" ht="14.25">
      <c r="A64" s="94" t="s">
        <v>288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3"/>
      <c r="P64" s="82"/>
      <c r="Q64" s="82"/>
      <c r="R64" s="83">
        <f>SUM(C64:P64)</f>
        <v>0</v>
      </c>
    </row>
    <row r="65" spans="1:18" ht="14.25">
      <c r="A65" s="90" t="s">
        <v>289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0"/>
      <c r="P65" s="76"/>
      <c r="Q65" s="76"/>
      <c r="R65" s="70"/>
    </row>
    <row r="66" spans="1:18" ht="14.25">
      <c r="A66" s="94" t="s">
        <v>290</v>
      </c>
      <c r="B66" s="76"/>
      <c r="C66" s="76"/>
      <c r="D66" s="76"/>
      <c r="E66" s="76">
        <v>0</v>
      </c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0"/>
      <c r="P66" s="76"/>
      <c r="Q66" s="76"/>
      <c r="R66" s="70">
        <f>SUM(C66:P66)</f>
        <v>0</v>
      </c>
    </row>
    <row r="67" spans="1:18" ht="14.25">
      <c r="A67" s="94" t="s">
        <v>291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0"/>
      <c r="P67" s="76"/>
      <c r="Q67" s="76"/>
      <c r="R67" s="70">
        <f>SUM(H67:Q67)</f>
        <v>0</v>
      </c>
    </row>
    <row r="68" spans="1:18" ht="14.25">
      <c r="A68" s="94" t="s">
        <v>292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0"/>
      <c r="P68" s="76"/>
      <c r="Q68" s="76"/>
      <c r="R68" s="70"/>
    </row>
    <row r="69" spans="1:18" ht="14.25">
      <c r="A69" s="94" t="s">
        <v>293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>
        <v>0</v>
      </c>
      <c r="M69" s="76"/>
      <c r="N69" s="76"/>
      <c r="O69" s="70"/>
      <c r="P69" s="76"/>
      <c r="Q69" s="76"/>
      <c r="R69" s="70">
        <f>SUM(L69:Q69)</f>
        <v>0</v>
      </c>
    </row>
    <row r="70" spans="1:18" ht="14.25">
      <c r="A70" s="94" t="s">
        <v>294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0"/>
      <c r="P70" s="76"/>
      <c r="Q70" s="76"/>
      <c r="R70" s="70"/>
    </row>
    <row r="71" spans="1:18" ht="14.25">
      <c r="A71" s="94" t="s">
        <v>295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0"/>
      <c r="P71" s="76"/>
      <c r="Q71" s="76"/>
      <c r="R71" s="70">
        <f>SUM(C71:Q71)</f>
        <v>0</v>
      </c>
    </row>
    <row r="72" spans="1:18" ht="14.25">
      <c r="A72" s="94" t="s">
        <v>296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0"/>
      <c r="P72" s="76"/>
      <c r="Q72" s="76"/>
      <c r="R72" s="70">
        <v>0</v>
      </c>
    </row>
    <row r="73" spans="1:18" ht="14.25">
      <c r="A73" s="94" t="s">
        <v>297</v>
      </c>
      <c r="B73" s="76"/>
      <c r="C73" s="76">
        <v>0</v>
      </c>
      <c r="D73" s="76"/>
      <c r="E73" s="76">
        <v>0</v>
      </c>
      <c r="F73" s="76"/>
      <c r="G73" s="76"/>
      <c r="H73" s="76"/>
      <c r="I73" s="76"/>
      <c r="J73" s="76"/>
      <c r="K73" s="76"/>
      <c r="L73" s="76">
        <v>0</v>
      </c>
      <c r="M73" s="76"/>
      <c r="N73" s="76"/>
      <c r="O73" s="70"/>
      <c r="P73" s="76"/>
      <c r="Q73" s="76"/>
      <c r="R73" s="70">
        <f>SUM(C73:E73)</f>
        <v>0</v>
      </c>
    </row>
    <row r="74" spans="1:18" ht="14.25">
      <c r="A74" s="94" t="s">
        <v>298</v>
      </c>
      <c r="B74" s="76"/>
      <c r="C74" s="76"/>
      <c r="D74" s="76"/>
      <c r="E74" s="76">
        <v>0</v>
      </c>
      <c r="F74" s="76"/>
      <c r="G74" s="76"/>
      <c r="H74" s="76"/>
      <c r="I74" s="76"/>
      <c r="J74" s="76"/>
      <c r="K74" s="76"/>
      <c r="L74" s="76"/>
      <c r="M74" s="76"/>
      <c r="N74" s="76"/>
      <c r="O74" s="70"/>
      <c r="P74" s="76"/>
      <c r="Q74" s="76"/>
      <c r="R74" s="70"/>
    </row>
    <row r="75" spans="1:18" ht="14.25">
      <c r="A75" s="94" t="s">
        <v>299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0"/>
      <c r="P75" s="76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SUM(G64)</f>
        <v>0</v>
      </c>
      <c r="H76" s="61">
        <f>SUM(H64:H75)</f>
        <v>0</v>
      </c>
      <c r="I76" s="61">
        <v>0</v>
      </c>
      <c r="J76" s="61">
        <v>0</v>
      </c>
      <c r="K76" s="61">
        <v>0</v>
      </c>
      <c r="L76" s="61">
        <f>SUM(L65:L75)</f>
        <v>0</v>
      </c>
      <c r="M76" s="61">
        <v>0</v>
      </c>
      <c r="N76" s="61">
        <v>0</v>
      </c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f>10000</f>
        <v>10000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/>
      <c r="R77" s="73">
        <f>SUM(C77:Q77)</f>
        <v>10000</v>
      </c>
    </row>
    <row r="78" ht="15" thickTop="1"/>
    <row r="81" spans="1:18" s="64" customFormat="1" ht="13.5" customHeight="1">
      <c r="A81" s="65" t="s">
        <v>115</v>
      </c>
      <c r="B81" s="349" t="s">
        <v>92</v>
      </c>
      <c r="C81" s="350" t="s">
        <v>93</v>
      </c>
      <c r="D81" s="350"/>
      <c r="E81" s="350"/>
      <c r="F81" s="87" t="s">
        <v>94</v>
      </c>
      <c r="G81" s="350" t="s">
        <v>95</v>
      </c>
      <c r="H81" s="350"/>
      <c r="I81" s="350" t="s">
        <v>96</v>
      </c>
      <c r="J81" s="350"/>
      <c r="K81" s="87" t="s">
        <v>97</v>
      </c>
      <c r="L81" s="350" t="s">
        <v>98</v>
      </c>
      <c r="M81" s="350"/>
      <c r="N81" s="350" t="s">
        <v>99</v>
      </c>
      <c r="O81" s="350"/>
      <c r="P81" s="351" t="s">
        <v>113</v>
      </c>
      <c r="Q81" s="352"/>
      <c r="R81" s="353" t="s">
        <v>19</v>
      </c>
    </row>
    <row r="82" spans="1:18" s="64" customFormat="1" ht="13.5" customHeight="1">
      <c r="A82" s="66" t="s">
        <v>116</v>
      </c>
      <c r="B82" s="349"/>
      <c r="C82" s="87" t="s">
        <v>100</v>
      </c>
      <c r="D82" s="87" t="s">
        <v>111</v>
      </c>
      <c r="E82" s="87" t="s">
        <v>101</v>
      </c>
      <c r="F82" s="87" t="s">
        <v>102</v>
      </c>
      <c r="G82" s="87" t="s">
        <v>103</v>
      </c>
      <c r="H82" s="87" t="s">
        <v>104</v>
      </c>
      <c r="I82" s="87" t="s">
        <v>105</v>
      </c>
      <c r="J82" s="87" t="s">
        <v>106</v>
      </c>
      <c r="K82" s="87" t="s">
        <v>112</v>
      </c>
      <c r="L82" s="87" t="s">
        <v>107</v>
      </c>
      <c r="M82" s="87" t="s">
        <v>108</v>
      </c>
      <c r="N82" s="87" t="s">
        <v>109</v>
      </c>
      <c r="O82" s="87" t="s">
        <v>110</v>
      </c>
      <c r="P82" s="87" t="s">
        <v>325</v>
      </c>
      <c r="Q82" s="192" t="s">
        <v>114</v>
      </c>
      <c r="R82" s="354"/>
    </row>
    <row r="83" spans="1:18" ht="13.5" customHeight="1">
      <c r="A83" s="92" t="s">
        <v>300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301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302</v>
      </c>
      <c r="B85" s="70"/>
      <c r="C85" s="70">
        <v>0</v>
      </c>
      <c r="D85" s="70"/>
      <c r="E85" s="70"/>
      <c r="F85" s="70"/>
      <c r="G85" s="70">
        <v>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303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304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13.5" customHeight="1">
      <c r="A88" s="90" t="s">
        <v>305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/>
      <c r="R89" s="72">
        <f>SUM(C89:P89)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306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5"/>
      <c r="P91" s="74"/>
      <c r="Q91" s="74"/>
      <c r="R91" s="75"/>
    </row>
    <row r="92" spans="1:18" ht="13.5" customHeight="1">
      <c r="A92" s="90" t="s">
        <v>307</v>
      </c>
      <c r="B92" s="76"/>
      <c r="C92" s="76"/>
      <c r="D92" s="76"/>
      <c r="E92" s="76"/>
      <c r="F92" s="76"/>
      <c r="G92" s="76"/>
      <c r="H92" s="76"/>
      <c r="I92" s="76"/>
      <c r="J92" s="82"/>
      <c r="K92" s="76"/>
      <c r="L92" s="76">
        <v>0</v>
      </c>
      <c r="M92" s="76"/>
      <c r="N92" s="76"/>
      <c r="O92" s="70"/>
      <c r="P92" s="76"/>
      <c r="Q92" s="76"/>
      <c r="R92" s="70"/>
    </row>
    <row r="93" spans="1:18" ht="13.5" customHeight="1">
      <c r="A93" s="90" t="s">
        <v>308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0"/>
      <c r="P93" s="76"/>
      <c r="Q93" s="76"/>
      <c r="R93" s="70"/>
    </row>
    <row r="94" spans="1:18" ht="13.5" customHeight="1">
      <c r="A94" s="90" t="s">
        <v>309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0"/>
      <c r="P94" s="76"/>
      <c r="Q94" s="76"/>
      <c r="R94" s="70"/>
    </row>
    <row r="95" spans="1:18" ht="13.5" customHeight="1">
      <c r="A95" s="90" t="s">
        <v>310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0"/>
      <c r="P95" s="76"/>
      <c r="Q95" s="76"/>
      <c r="R95" s="70"/>
    </row>
    <row r="96" spans="1:18" ht="13.5" customHeight="1">
      <c r="A96" s="90" t="s">
        <v>311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0"/>
      <c r="P96" s="76"/>
      <c r="Q96" s="76"/>
      <c r="R96" s="70"/>
    </row>
    <row r="97" spans="1:18" ht="13.5" customHeight="1">
      <c r="A97" s="94" t="s">
        <v>312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3"/>
      <c r="P97" s="82"/>
      <c r="Q97" s="82"/>
      <c r="R97" s="83"/>
    </row>
    <row r="98" spans="1:18" ht="13.5" customHeight="1">
      <c r="A98" s="90" t="s">
        <v>313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>
        <v>0</v>
      </c>
      <c r="M98" s="76"/>
      <c r="N98" s="76"/>
      <c r="O98" s="70"/>
      <c r="P98" s="76"/>
      <c r="Q98" s="76"/>
      <c r="R98" s="70"/>
    </row>
    <row r="99" spans="1:18" ht="13.5" customHeight="1">
      <c r="A99" s="94" t="s">
        <v>314</v>
      </c>
      <c r="B99" s="77"/>
      <c r="C99" s="77">
        <v>0</v>
      </c>
      <c r="D99" s="77"/>
      <c r="E99" s="77"/>
      <c r="F99" s="77"/>
      <c r="G99" s="77">
        <v>0</v>
      </c>
      <c r="H99" s="151"/>
      <c r="I99" s="77">
        <v>0</v>
      </c>
      <c r="J99" s="77"/>
      <c r="K99" s="77"/>
      <c r="L99" s="77"/>
      <c r="M99" s="77"/>
      <c r="N99" s="77"/>
      <c r="O99" s="67"/>
      <c r="P99" s="77"/>
      <c r="Q99" s="77"/>
      <c r="R99" s="213">
        <f>SUM(C99:Q99)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SUM(G99)</f>
        <v>0</v>
      </c>
      <c r="H100" s="61">
        <v>0</v>
      </c>
      <c r="I100" s="61">
        <f>SUM(I99)</f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/>
      <c r="R100" s="72">
        <f>SUM(C100:Q100)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315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4"/>
    </row>
    <row r="103" spans="1:18" ht="13.5" customHeight="1">
      <c r="A103" s="94" t="s">
        <v>316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  <c r="P103" s="82"/>
      <c r="Q103" s="82"/>
      <c r="R103" s="83"/>
    </row>
    <row r="104" spans="1:18" ht="13.5" customHeight="1">
      <c r="A104" s="94" t="s">
        <v>317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  <c r="P104" s="82"/>
      <c r="Q104" s="82"/>
      <c r="R104" s="83"/>
    </row>
    <row r="105" spans="1:18" ht="13.5" customHeight="1">
      <c r="A105" s="90" t="s">
        <v>318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0"/>
      <c r="P105" s="76"/>
      <c r="Q105" s="76"/>
      <c r="R105" s="70"/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/>
      <c r="R106" s="61">
        <f>SUM(C106:P106)</f>
        <v>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/>
      <c r="R107" s="73">
        <f>SUM(C107:P107)</f>
        <v>0</v>
      </c>
    </row>
    <row r="108" spans="1:18" ht="13.5" customHeight="1" thickTop="1">
      <c r="A108" s="94" t="s">
        <v>319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2"/>
      <c r="O108" s="84"/>
      <c r="P108" s="82"/>
      <c r="Q108" s="82"/>
      <c r="R108" s="70"/>
    </row>
    <row r="109" spans="1:18" ht="13.5" customHeight="1">
      <c r="A109" s="94" t="s">
        <v>320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0"/>
      <c r="P109" s="76"/>
      <c r="Q109" s="76"/>
      <c r="R109" s="70">
        <f>SUM(C109:Q109)</f>
        <v>0</v>
      </c>
    </row>
    <row r="110" spans="1:18" ht="13.5" customHeight="1">
      <c r="A110" s="94" t="s">
        <v>321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/>
      <c r="M110" s="76">
        <v>0</v>
      </c>
      <c r="N110" s="76"/>
      <c r="O110" s="76">
        <v>0</v>
      </c>
      <c r="P110" s="70"/>
      <c r="Q110" s="70"/>
      <c r="R110" s="70">
        <f>SUM(C110:P110)</f>
        <v>0</v>
      </c>
    </row>
    <row r="111" spans="1:18" ht="13.5" customHeight="1">
      <c r="A111" s="90" t="s">
        <v>322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0"/>
      <c r="Q111" s="70"/>
      <c r="R111" s="70">
        <f>SUM(C111:P111)</f>
        <v>0</v>
      </c>
    </row>
    <row r="112" spans="1:18" ht="13.5" customHeight="1">
      <c r="A112" s="90" t="s">
        <v>36</v>
      </c>
      <c r="B112" s="61"/>
      <c r="C112" s="61">
        <f>SUM(C109:C111)</f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f>SUM(M108:M111)</f>
        <v>0</v>
      </c>
      <c r="N112" s="61">
        <f>SUM(N110:N111)</f>
        <v>0</v>
      </c>
      <c r="O112" s="61">
        <f>SUM(O110:O111)</f>
        <v>0</v>
      </c>
      <c r="P112" s="61">
        <f>SUM(P108:P111)</f>
        <v>0</v>
      </c>
      <c r="Q112" s="61"/>
      <c r="R112" s="61">
        <f>SUM(C112:P112)</f>
        <v>0</v>
      </c>
    </row>
    <row r="113" spans="1:18" ht="13.5" customHeight="1" thickBot="1">
      <c r="A113" s="91" t="s">
        <v>37</v>
      </c>
      <c r="B113" s="93"/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f>SUM(N111:N112)</f>
        <v>0</v>
      </c>
      <c r="O113" s="93">
        <v>0</v>
      </c>
      <c r="P113" s="93">
        <v>0</v>
      </c>
      <c r="Q113" s="93"/>
      <c r="R113" s="93">
        <f>SUM(C113:P113)</f>
        <v>0</v>
      </c>
    </row>
    <row r="114" spans="1:18" ht="13.5" customHeight="1" thickTop="1">
      <c r="A114" s="94" t="s">
        <v>323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3"/>
      <c r="P114" s="82"/>
      <c r="Q114" s="82"/>
      <c r="R114" s="83"/>
    </row>
    <row r="115" spans="1:18" ht="13.5" customHeight="1">
      <c r="A115" s="94" t="s">
        <v>324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67"/>
      <c r="P115" s="77"/>
      <c r="Q115" s="77"/>
      <c r="R115" s="67">
        <f>SUM(B115:P115)</f>
        <v>0</v>
      </c>
    </row>
    <row r="116" spans="1:18" ht="13.5" customHeight="1">
      <c r="A116" s="90" t="s">
        <v>36</v>
      </c>
      <c r="B116" s="61">
        <v>0</v>
      </c>
      <c r="C116" s="61">
        <v>0</v>
      </c>
      <c r="D116" s="61">
        <f>SUM(D115)</f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/>
      <c r="R116" s="61">
        <f>SUM(B116:P116)</f>
        <v>0</v>
      </c>
    </row>
    <row r="117" spans="1:18" ht="13.5" customHeight="1" thickBot="1">
      <c r="A117" s="91" t="s">
        <v>37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/>
      <c r="R117" s="93">
        <f>SUM(B117:P117)</f>
        <v>0</v>
      </c>
    </row>
    <row r="118" spans="1:18" ht="13.5" customHeight="1" thickTop="1">
      <c r="A118" s="90" t="s">
        <v>36</v>
      </c>
      <c r="B118" s="72">
        <f>SUM(B15)</f>
        <v>0</v>
      </c>
      <c r="C118" s="61">
        <f>SUM(C24+C30+C35+C46+C54+C61+C76+C89+C100+C106++C112)</f>
        <v>0</v>
      </c>
      <c r="D118" s="150">
        <f>SUM(D61)</f>
        <v>0</v>
      </c>
      <c r="E118" s="150">
        <f>SUM(E24+E30+E35+E46+E54+E61+E76+E89+E100+E106+E112)</f>
        <v>0</v>
      </c>
      <c r="F118" s="150">
        <f>SUM(F61)</f>
        <v>0</v>
      </c>
      <c r="G118" s="150">
        <f>SUM(G30+G46+G54+G61+G76+G89+G100+G106+G112)</f>
        <v>0</v>
      </c>
      <c r="H118" s="150">
        <f>SUM(H46+H61+H112)</f>
        <v>0</v>
      </c>
      <c r="I118" s="150">
        <f>SUM(I46+I54+I61+I76+I89+I100+I106+I112)</f>
        <v>0</v>
      </c>
      <c r="J118" s="150">
        <f>SUM(J46+J54+J61+J76+J89+J100+J106+J112)</f>
        <v>0</v>
      </c>
      <c r="K118" s="150">
        <v>0</v>
      </c>
      <c r="L118" s="150">
        <f>SUM(L30+L35+L46+L54+L61+L76+L89+L100+L106+L112)</f>
        <v>0</v>
      </c>
      <c r="M118" s="150">
        <f>SUM(M112)</f>
        <v>0</v>
      </c>
      <c r="N118" s="150">
        <f>SUM(N61)</f>
        <v>0</v>
      </c>
      <c r="O118" s="150">
        <f>SUM(O15+O24+O30+O35+O46+O54+O61+O76+O89+O100+O106+O112)</f>
        <v>0</v>
      </c>
      <c r="P118" s="150">
        <v>0</v>
      </c>
      <c r="Q118" s="150"/>
      <c r="R118" s="72">
        <f>SUM(B118:Q118)</f>
        <v>0</v>
      </c>
    </row>
    <row r="119" spans="1:18" ht="13.5" customHeight="1" thickBot="1">
      <c r="A119" s="91" t="s">
        <v>37</v>
      </c>
      <c r="B119" s="73">
        <v>0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/>
      <c r="R119" s="73">
        <f>SUM(B119:Q119)</f>
        <v>0</v>
      </c>
    </row>
    <row r="120" ht="15" thickTop="1"/>
  </sheetData>
  <sheetProtection/>
  <mergeCells count="28">
    <mergeCell ref="A4:R4"/>
    <mergeCell ref="G6:H6"/>
    <mergeCell ref="P41:Q41"/>
    <mergeCell ref="B41:B42"/>
    <mergeCell ref="C41:E41"/>
    <mergeCell ref="I41:J41"/>
    <mergeCell ref="L41:M41"/>
    <mergeCell ref="G41:H41"/>
    <mergeCell ref="C81:E81"/>
    <mergeCell ref="I81:J81"/>
    <mergeCell ref="I6:J6"/>
    <mergeCell ref="L6:M6"/>
    <mergeCell ref="G81:H81"/>
    <mergeCell ref="A1:R1"/>
    <mergeCell ref="A2:R2"/>
    <mergeCell ref="N6:O6"/>
    <mergeCell ref="B6:B7"/>
    <mergeCell ref="C6:E6"/>
    <mergeCell ref="L81:M81"/>
    <mergeCell ref="N81:O81"/>
    <mergeCell ref="P6:Q6"/>
    <mergeCell ref="A3:R3"/>
    <mergeCell ref="P81:Q81"/>
    <mergeCell ref="B81:B82"/>
    <mergeCell ref="R6:R7"/>
    <mergeCell ref="R41:R42"/>
    <mergeCell ref="R81:R82"/>
    <mergeCell ref="N41:O4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">
      <selection activeCell="I109" sqref="I109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140625" style="81" customWidth="1"/>
    <col min="12" max="12" width="7.421875" style="81" customWidth="1"/>
    <col min="13" max="13" width="7.140625" style="81" customWidth="1"/>
    <col min="14" max="14" width="7.421875" style="81" customWidth="1"/>
    <col min="15" max="15" width="7.57421875" style="81" customWidth="1"/>
    <col min="16" max="16" width="7.421875" style="62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7" t="s">
        <v>91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</row>
    <row r="2" spans="1:18" ht="16.5">
      <c r="A2" s="347" t="s">
        <v>404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</row>
    <row r="3" spans="1:18" ht="16.5">
      <c r="A3" s="348" t="s">
        <v>555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</row>
    <row r="4" spans="8:17" s="123" customFormat="1" ht="16.5">
      <c r="H4" s="355"/>
      <c r="I4" s="355"/>
      <c r="J4" s="355"/>
      <c r="Q4" s="191"/>
    </row>
    <row r="5" spans="1:18" s="64" customFormat="1" ht="14.25">
      <c r="A5" s="65" t="s">
        <v>115</v>
      </c>
      <c r="B5" s="349" t="s">
        <v>92</v>
      </c>
      <c r="C5" s="350" t="s">
        <v>93</v>
      </c>
      <c r="D5" s="350"/>
      <c r="E5" s="350"/>
      <c r="F5" s="87" t="s">
        <v>94</v>
      </c>
      <c r="G5" s="350" t="s">
        <v>95</v>
      </c>
      <c r="H5" s="350"/>
      <c r="I5" s="350" t="s">
        <v>96</v>
      </c>
      <c r="J5" s="350"/>
      <c r="K5" s="87" t="s">
        <v>97</v>
      </c>
      <c r="L5" s="350" t="s">
        <v>98</v>
      </c>
      <c r="M5" s="350"/>
      <c r="N5" s="350" t="s">
        <v>99</v>
      </c>
      <c r="O5" s="350"/>
      <c r="P5" s="351" t="s">
        <v>113</v>
      </c>
      <c r="Q5" s="352"/>
      <c r="R5" s="353" t="s">
        <v>19</v>
      </c>
    </row>
    <row r="6" spans="1:18" s="64" customFormat="1" ht="14.25">
      <c r="A6" s="66" t="s">
        <v>116</v>
      </c>
      <c r="B6" s="349"/>
      <c r="C6" s="87" t="s">
        <v>100</v>
      </c>
      <c r="D6" s="87" t="s">
        <v>111</v>
      </c>
      <c r="E6" s="87" t="s">
        <v>101</v>
      </c>
      <c r="F6" s="87" t="s">
        <v>102</v>
      </c>
      <c r="G6" s="87" t="s">
        <v>103</v>
      </c>
      <c r="H6" s="87" t="s">
        <v>104</v>
      </c>
      <c r="I6" s="87" t="s">
        <v>105</v>
      </c>
      <c r="J6" s="87" t="s">
        <v>106</v>
      </c>
      <c r="K6" s="87" t="s">
        <v>112</v>
      </c>
      <c r="L6" s="87" t="s">
        <v>107</v>
      </c>
      <c r="M6" s="87" t="s">
        <v>108</v>
      </c>
      <c r="N6" s="87" t="s">
        <v>109</v>
      </c>
      <c r="O6" s="87" t="s">
        <v>110</v>
      </c>
      <c r="P6" s="87" t="s">
        <v>325</v>
      </c>
      <c r="Q6" s="192" t="s">
        <v>114</v>
      </c>
      <c r="R6" s="354"/>
    </row>
    <row r="7" spans="1:18" ht="14.25">
      <c r="A7" s="88" t="s">
        <v>255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256</v>
      </c>
      <c r="B8" s="67">
        <v>0</v>
      </c>
      <c r="C8" s="67"/>
      <c r="D8" s="67"/>
      <c r="E8" s="67" t="s">
        <v>253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0</v>
      </c>
    </row>
    <row r="9" spans="1:18" ht="14.25">
      <c r="A9" s="90" t="s">
        <v>257</v>
      </c>
      <c r="B9" s="70">
        <v>0</v>
      </c>
      <c r="C9" s="70"/>
      <c r="D9" s="70"/>
      <c r="E9" s="70"/>
      <c r="F9" s="70"/>
      <c r="G9" s="70"/>
      <c r="H9" s="70" t="s">
        <v>483</v>
      </c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0</v>
      </c>
    </row>
    <row r="10" spans="1:18" ht="14.25">
      <c r="A10" s="90" t="s">
        <v>258</v>
      </c>
      <c r="B10" s="70">
        <v>0</v>
      </c>
      <c r="C10" s="70"/>
      <c r="D10" s="70"/>
      <c r="E10" s="70"/>
      <c r="F10" s="70"/>
      <c r="G10" s="70"/>
      <c r="H10" s="70"/>
      <c r="I10" s="70"/>
      <c r="J10" s="70"/>
      <c r="K10" s="70" t="s">
        <v>253</v>
      </c>
      <c r="L10" s="70"/>
      <c r="M10" s="70"/>
      <c r="N10" s="70"/>
      <c r="O10" s="70"/>
      <c r="P10" s="70"/>
      <c r="Q10" s="70"/>
      <c r="R10" s="70">
        <f>SUM(B10:P10)</f>
        <v>0</v>
      </c>
    </row>
    <row r="11" spans="1:18" ht="14.25">
      <c r="A11" s="90" t="s">
        <v>259</v>
      </c>
      <c r="B11" s="70">
        <v>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260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SUM(B8:B12)</f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/>
      <c r="R13" s="72">
        <f>SUM(B13:Q13)</f>
        <v>0</v>
      </c>
    </row>
    <row r="14" spans="1:18" ht="15" thickBot="1">
      <c r="A14" s="91" t="s">
        <v>37</v>
      </c>
      <c r="B14" s="73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190"/>
      <c r="R14" s="73">
        <f>SUM(B14:P14)</f>
        <v>0</v>
      </c>
    </row>
    <row r="15" spans="1:18" ht="15" thickTop="1">
      <c r="A15" s="92" t="s">
        <v>261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/>
      <c r="P15" s="74"/>
      <c r="Q15" s="74"/>
      <c r="R15" s="75"/>
    </row>
    <row r="16" spans="1:18" ht="14.25">
      <c r="A16" s="90" t="s">
        <v>262</v>
      </c>
      <c r="B16" s="76"/>
      <c r="C16" s="70">
        <v>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0"/>
      <c r="P16" s="76"/>
      <c r="Q16" s="76"/>
      <c r="R16" s="70">
        <f aca="true" t="shared" si="0" ref="R16:R23">SUM(C16:P16)</f>
        <v>0</v>
      </c>
    </row>
    <row r="17" spans="1:18" ht="14.25">
      <c r="A17" s="89" t="s">
        <v>263</v>
      </c>
      <c r="B17" s="77"/>
      <c r="C17" s="77">
        <v>0</v>
      </c>
      <c r="D17" s="77"/>
      <c r="E17" s="77">
        <v>0</v>
      </c>
      <c r="F17" s="77"/>
      <c r="G17" s="77">
        <v>0</v>
      </c>
      <c r="H17" s="77"/>
      <c r="I17" s="77"/>
      <c r="J17" s="77"/>
      <c r="K17" s="77"/>
      <c r="L17" s="77">
        <v>0</v>
      </c>
      <c r="M17" s="77"/>
      <c r="N17" s="77"/>
      <c r="O17" s="67"/>
      <c r="P17" s="77"/>
      <c r="Q17" s="77"/>
      <c r="R17" s="67">
        <f t="shared" si="0"/>
        <v>0</v>
      </c>
    </row>
    <row r="18" spans="1:18" ht="14.25">
      <c r="A18" s="90" t="s">
        <v>264</v>
      </c>
      <c r="B18" s="76"/>
      <c r="C18" s="76">
        <v>0</v>
      </c>
      <c r="D18" s="76"/>
      <c r="E18" s="76">
        <v>0</v>
      </c>
      <c r="F18" s="76"/>
      <c r="G18" s="76">
        <v>0</v>
      </c>
      <c r="H18" s="76"/>
      <c r="I18" s="76"/>
      <c r="J18" s="76"/>
      <c r="K18" s="76"/>
      <c r="L18" s="76">
        <v>0</v>
      </c>
      <c r="M18" s="76"/>
      <c r="N18" s="76"/>
      <c r="O18" s="70"/>
      <c r="P18" s="76"/>
      <c r="Q18" s="76"/>
      <c r="R18" s="70">
        <f t="shared" si="0"/>
        <v>0</v>
      </c>
    </row>
    <row r="19" spans="1:18" ht="14.25">
      <c r="A19" s="90" t="s">
        <v>265</v>
      </c>
      <c r="B19" s="76"/>
      <c r="C19" s="70">
        <v>0</v>
      </c>
      <c r="D19" s="76"/>
      <c r="E19" s="76">
        <v>0</v>
      </c>
      <c r="F19" s="76"/>
      <c r="G19" s="76"/>
      <c r="H19" s="76"/>
      <c r="I19" s="76"/>
      <c r="J19" s="76"/>
      <c r="K19" s="76"/>
      <c r="L19" s="76">
        <v>0</v>
      </c>
      <c r="M19" s="76"/>
      <c r="N19" s="76"/>
      <c r="O19" s="70"/>
      <c r="P19" s="76"/>
      <c r="Q19" s="76"/>
      <c r="R19" s="70">
        <f t="shared" si="0"/>
        <v>0</v>
      </c>
    </row>
    <row r="20" spans="1:18" ht="14.25">
      <c r="A20" s="89" t="s">
        <v>266</v>
      </c>
      <c r="B20" s="77"/>
      <c r="C20" s="77">
        <v>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67"/>
      <c r="P20" s="77"/>
      <c r="Q20" s="77"/>
      <c r="R20" s="67">
        <f t="shared" si="0"/>
        <v>0</v>
      </c>
    </row>
    <row r="21" spans="1:18" ht="14.25">
      <c r="A21" s="90" t="s">
        <v>267</v>
      </c>
      <c r="B21" s="76"/>
      <c r="C21" s="70">
        <v>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0"/>
      <c r="P21" s="76"/>
      <c r="Q21" s="76"/>
      <c r="R21" s="70">
        <f t="shared" si="0"/>
        <v>0</v>
      </c>
    </row>
    <row r="22" spans="1:18" ht="14.25">
      <c r="A22" s="90" t="s">
        <v>36</v>
      </c>
      <c r="B22" s="61"/>
      <c r="C22" s="79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/>
      <c r="R22" s="72">
        <f t="shared" si="0"/>
        <v>0</v>
      </c>
    </row>
    <row r="23" spans="1:18" ht="15" thickBot="1">
      <c r="A23" s="91" t="s">
        <v>37</v>
      </c>
      <c r="B23" s="93"/>
      <c r="C23" s="80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/>
      <c r="R23" s="73">
        <f t="shared" si="0"/>
        <v>0</v>
      </c>
    </row>
    <row r="24" spans="1:18" ht="15" thickTop="1">
      <c r="A24" s="89" t="s">
        <v>268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83"/>
      <c r="P24" s="77"/>
      <c r="Q24" s="77"/>
      <c r="R24" s="67"/>
    </row>
    <row r="25" spans="1:18" ht="14.25">
      <c r="A25" s="90" t="s">
        <v>269</v>
      </c>
      <c r="B25" s="76"/>
      <c r="C25" s="76">
        <v>0</v>
      </c>
      <c r="D25" s="76"/>
      <c r="E25" s="76">
        <v>0</v>
      </c>
      <c r="F25" s="76"/>
      <c r="G25" s="76">
        <v>0</v>
      </c>
      <c r="H25" s="76"/>
      <c r="I25" s="76"/>
      <c r="J25" s="76"/>
      <c r="K25" s="76"/>
      <c r="L25" s="76">
        <v>0</v>
      </c>
      <c r="M25" s="76"/>
      <c r="N25" s="76"/>
      <c r="O25" s="70"/>
      <c r="P25" s="76"/>
      <c r="Q25" s="76"/>
      <c r="R25" s="70">
        <f>SUM(C25:P25)</f>
        <v>0</v>
      </c>
    </row>
    <row r="26" spans="1:18" ht="14.25">
      <c r="A26" s="90" t="s">
        <v>270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0"/>
      <c r="P26" s="76"/>
      <c r="Q26" s="76"/>
      <c r="R26" s="70">
        <f>SUM(C26:P26)</f>
        <v>0</v>
      </c>
    </row>
    <row r="27" spans="1:18" ht="14.25">
      <c r="A27" s="89" t="s">
        <v>271</v>
      </c>
      <c r="B27" s="77"/>
      <c r="C27" s="77">
        <v>0</v>
      </c>
      <c r="D27" s="77"/>
      <c r="E27" s="77">
        <v>0</v>
      </c>
      <c r="F27" s="77"/>
      <c r="G27" s="77"/>
      <c r="H27" s="77"/>
      <c r="I27" s="77"/>
      <c r="J27" s="77"/>
      <c r="K27" s="77"/>
      <c r="L27" s="77">
        <v>0</v>
      </c>
      <c r="M27" s="77"/>
      <c r="N27" s="77"/>
      <c r="O27" s="67"/>
      <c r="P27" s="77"/>
      <c r="Q27" s="77"/>
      <c r="R27" s="67"/>
    </row>
    <row r="28" spans="1:18" ht="14.25">
      <c r="A28" s="90" t="s">
        <v>36</v>
      </c>
      <c r="B28" s="61"/>
      <c r="C28" s="79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/>
      <c r="R28" s="61">
        <f>SUM(C28:P28)</f>
        <v>0</v>
      </c>
    </row>
    <row r="29" spans="1:18" ht="15" thickBot="1">
      <c r="A29" s="91" t="s">
        <v>37</v>
      </c>
      <c r="B29" s="93"/>
      <c r="C29" s="80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/>
      <c r="R29" s="93">
        <f>SUM(C29:P29)</f>
        <v>0</v>
      </c>
    </row>
    <row r="30" spans="1:18" ht="15" thickTop="1">
      <c r="A30" s="89" t="s">
        <v>268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67"/>
      <c r="P30" s="77"/>
      <c r="Q30" s="77"/>
      <c r="R30" s="84"/>
    </row>
    <row r="31" spans="1:18" ht="14.25">
      <c r="A31" s="90" t="s">
        <v>272</v>
      </c>
      <c r="B31" s="76"/>
      <c r="C31" s="76">
        <v>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/>
      <c r="L31" s="76">
        <v>0</v>
      </c>
      <c r="M31" s="76"/>
      <c r="N31" s="76"/>
      <c r="O31" s="70"/>
      <c r="P31" s="76"/>
      <c r="Q31" s="76"/>
      <c r="R31" s="70">
        <f>SUM(C31:P31)</f>
        <v>0</v>
      </c>
    </row>
    <row r="32" spans="1:18" ht="14.25">
      <c r="A32" s="89" t="s">
        <v>273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/>
      <c r="L32" s="77">
        <v>0</v>
      </c>
      <c r="M32" s="77"/>
      <c r="N32" s="77"/>
      <c r="O32" s="67"/>
      <c r="P32" s="7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/>
      <c r="R33" s="72">
        <f>SUM(C33:P33)</f>
        <v>0</v>
      </c>
    </row>
    <row r="34" spans="1:18" ht="15" thickBot="1">
      <c r="A34" s="91" t="s">
        <v>37</v>
      </c>
      <c r="B34" s="93"/>
      <c r="C34" s="7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/>
      <c r="R34" s="73">
        <f>SUM(C34:P34)</f>
        <v>0</v>
      </c>
    </row>
    <row r="35" ht="15" thickTop="1">
      <c r="C35" s="183"/>
    </row>
    <row r="41" spans="1:18" s="64" customFormat="1" ht="14.25">
      <c r="A41" s="65" t="s">
        <v>115</v>
      </c>
      <c r="B41" s="349" t="s">
        <v>92</v>
      </c>
      <c r="C41" s="350" t="s">
        <v>93</v>
      </c>
      <c r="D41" s="350"/>
      <c r="E41" s="350"/>
      <c r="F41" s="87" t="s">
        <v>94</v>
      </c>
      <c r="G41" s="350" t="s">
        <v>95</v>
      </c>
      <c r="H41" s="350"/>
      <c r="I41" s="350" t="s">
        <v>96</v>
      </c>
      <c r="J41" s="350"/>
      <c r="K41" s="87" t="s">
        <v>97</v>
      </c>
      <c r="L41" s="350" t="s">
        <v>98</v>
      </c>
      <c r="M41" s="350"/>
      <c r="N41" s="350" t="s">
        <v>99</v>
      </c>
      <c r="O41" s="350"/>
      <c r="P41" s="351" t="s">
        <v>113</v>
      </c>
      <c r="Q41" s="352"/>
      <c r="R41" s="353" t="s">
        <v>19</v>
      </c>
    </row>
    <row r="42" spans="1:18" s="64" customFormat="1" ht="14.25">
      <c r="A42" s="66" t="s">
        <v>116</v>
      </c>
      <c r="B42" s="349"/>
      <c r="C42" s="87" t="s">
        <v>100</v>
      </c>
      <c r="D42" s="87" t="s">
        <v>111</v>
      </c>
      <c r="E42" s="87" t="s">
        <v>101</v>
      </c>
      <c r="F42" s="87" t="s">
        <v>102</v>
      </c>
      <c r="G42" s="87" t="s">
        <v>103</v>
      </c>
      <c r="H42" s="87" t="s">
        <v>104</v>
      </c>
      <c r="I42" s="87" t="s">
        <v>105</v>
      </c>
      <c r="J42" s="87" t="s">
        <v>106</v>
      </c>
      <c r="K42" s="87" t="s">
        <v>112</v>
      </c>
      <c r="L42" s="87" t="s">
        <v>107</v>
      </c>
      <c r="M42" s="87" t="s">
        <v>108</v>
      </c>
      <c r="N42" s="87" t="s">
        <v>109</v>
      </c>
      <c r="O42" s="87" t="s">
        <v>110</v>
      </c>
      <c r="P42" s="87" t="s">
        <v>325</v>
      </c>
      <c r="Q42" s="192" t="s">
        <v>114</v>
      </c>
      <c r="R42" s="354"/>
    </row>
    <row r="43" spans="1:18" ht="14.25">
      <c r="A43" s="92" t="s">
        <v>268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274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0</v>
      </c>
      <c r="I44" s="70">
        <v>0</v>
      </c>
      <c r="J44" s="70"/>
      <c r="K44" s="70"/>
      <c r="L44" s="70">
        <v>0</v>
      </c>
      <c r="M44" s="70"/>
      <c r="N44" s="70"/>
      <c r="O44" s="70"/>
      <c r="P44" s="70"/>
      <c r="Q44" s="70"/>
      <c r="R44" s="70">
        <f>SUM(C44:P44)</f>
        <v>0</v>
      </c>
    </row>
    <row r="45" spans="1:18" ht="14.25">
      <c r="A45" s="94" t="s">
        <v>275</v>
      </c>
      <c r="B45" s="67"/>
      <c r="C45" s="67">
        <v>0</v>
      </c>
      <c r="D45" s="67"/>
      <c r="E45" s="67">
        <v>0</v>
      </c>
      <c r="F45" s="67"/>
      <c r="G45" s="67"/>
      <c r="H45" s="67"/>
      <c r="I45" s="67"/>
      <c r="J45" s="67"/>
      <c r="K45" s="67"/>
      <c r="L45" s="67">
        <v>0</v>
      </c>
      <c r="M45" s="67"/>
      <c r="N45" s="67"/>
      <c r="O45" s="67"/>
      <c r="P45" s="67"/>
      <c r="Q45" s="67"/>
      <c r="R45" s="67">
        <f>SUM(C45:P45)</f>
        <v>0</v>
      </c>
    </row>
    <row r="46" spans="1:18" ht="14.25">
      <c r="A46" s="90" t="s">
        <v>36</v>
      </c>
      <c r="B46" s="61"/>
      <c r="C46" s="72">
        <v>0</v>
      </c>
      <c r="D46" s="61">
        <v>0</v>
      </c>
      <c r="E46" s="61">
        <v>0</v>
      </c>
      <c r="F46" s="61">
        <v>0</v>
      </c>
      <c r="G46" s="61">
        <f>SUM(G44)</f>
        <v>0</v>
      </c>
      <c r="H46" s="61">
        <f>SUM(H44:H45)</f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/>
      <c r="R46" s="61">
        <f>SUM(C46:P46)</f>
        <v>0</v>
      </c>
    </row>
    <row r="47" spans="1:18" ht="15" thickBot="1">
      <c r="A47" s="91" t="s">
        <v>37</v>
      </c>
      <c r="B47" s="93"/>
      <c r="C47" s="73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/>
      <c r="R47" s="61">
        <f>SUM(C47:P47)</f>
        <v>0</v>
      </c>
    </row>
    <row r="48" spans="1:18" ht="15" thickTop="1">
      <c r="A48" s="92" t="s">
        <v>276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  <c r="P48" s="74"/>
      <c r="Q48" s="74"/>
      <c r="R48" s="75"/>
    </row>
    <row r="49" spans="1:18" ht="14.25">
      <c r="A49" s="90" t="s">
        <v>277</v>
      </c>
      <c r="B49" s="76"/>
      <c r="C49" s="76">
        <v>0</v>
      </c>
      <c r="D49" s="76"/>
      <c r="E49" s="76"/>
      <c r="F49" s="76"/>
      <c r="G49" s="76"/>
      <c r="H49" s="76"/>
      <c r="I49" s="76" t="s">
        <v>253</v>
      </c>
      <c r="J49" s="76"/>
      <c r="K49" s="76"/>
      <c r="L49" s="76">
        <v>0</v>
      </c>
      <c r="M49" s="76">
        <v>0</v>
      </c>
      <c r="N49" s="76"/>
      <c r="O49" s="70"/>
      <c r="P49" s="76"/>
      <c r="Q49" s="76"/>
      <c r="R49" s="70">
        <f aca="true" t="shared" si="1" ref="R49:R55">SUM(C49:P49)</f>
        <v>0</v>
      </c>
    </row>
    <row r="50" spans="1:18" ht="14.25">
      <c r="A50" s="89" t="s">
        <v>278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67"/>
      <c r="P50" s="77"/>
      <c r="Q50" s="77"/>
      <c r="R50" s="67">
        <f t="shared" si="1"/>
        <v>0</v>
      </c>
    </row>
    <row r="51" spans="1:18" ht="14.25">
      <c r="A51" s="90" t="s">
        <v>279</v>
      </c>
      <c r="B51" s="76"/>
      <c r="C51" s="76">
        <v>0</v>
      </c>
      <c r="D51" s="76"/>
      <c r="E51" s="76">
        <v>0</v>
      </c>
      <c r="F51" s="76"/>
      <c r="G51" s="76">
        <v>0</v>
      </c>
      <c r="H51" s="76"/>
      <c r="I51" s="76"/>
      <c r="J51" s="76"/>
      <c r="K51" s="76"/>
      <c r="L51" s="76">
        <v>0</v>
      </c>
      <c r="M51" s="76"/>
      <c r="N51" s="76"/>
      <c r="O51" s="70"/>
      <c r="P51" s="76"/>
      <c r="Q51" s="76"/>
      <c r="R51" s="70">
        <f>SUM(C51:Q51)</f>
        <v>0</v>
      </c>
    </row>
    <row r="52" spans="1:18" ht="14.25">
      <c r="A52" s="90" t="s">
        <v>280</v>
      </c>
      <c r="B52" s="76"/>
      <c r="C52" s="76">
        <v>0</v>
      </c>
      <c r="D52" s="76"/>
      <c r="E52" s="76"/>
      <c r="F52" s="76">
        <v>0</v>
      </c>
      <c r="G52" s="76">
        <v>0</v>
      </c>
      <c r="H52" s="76"/>
      <c r="I52" s="76"/>
      <c r="J52" s="76"/>
      <c r="K52" s="76"/>
      <c r="L52" s="76">
        <v>0</v>
      </c>
      <c r="M52" s="76"/>
      <c r="N52" s="186"/>
      <c r="O52" s="70"/>
      <c r="P52" s="76"/>
      <c r="Q52" s="76"/>
      <c r="R52" s="70">
        <f t="shared" si="1"/>
        <v>0</v>
      </c>
    </row>
    <row r="53" spans="1:18" ht="14.25">
      <c r="A53" s="124" t="s">
        <v>281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187"/>
      <c r="O53" s="71"/>
      <c r="P53" s="78"/>
      <c r="Q53" s="78"/>
      <c r="R53" s="86"/>
    </row>
    <row r="54" spans="1:18" ht="14.25">
      <c r="A54" s="90" t="s">
        <v>36</v>
      </c>
      <c r="B54" s="61"/>
      <c r="C54" s="79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f>SUM(M49:M52)</f>
        <v>0</v>
      </c>
      <c r="N54" s="61">
        <v>0</v>
      </c>
      <c r="O54" s="61">
        <v>0</v>
      </c>
      <c r="P54" s="61">
        <v>0</v>
      </c>
      <c r="Q54" s="61"/>
      <c r="R54" s="72">
        <f t="shared" si="1"/>
        <v>0</v>
      </c>
    </row>
    <row r="55" spans="1:18" ht="15" thickBot="1">
      <c r="A55" s="91" t="s">
        <v>37</v>
      </c>
      <c r="B55" s="93"/>
      <c r="C55" s="80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61">
        <v>0</v>
      </c>
      <c r="P55" s="93">
        <v>0</v>
      </c>
      <c r="Q55" s="93"/>
      <c r="R55" s="73">
        <f t="shared" si="1"/>
        <v>0</v>
      </c>
    </row>
    <row r="56" spans="1:18" ht="15" thickTop="1">
      <c r="A56" s="94" t="s">
        <v>282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 t="s">
        <v>445</v>
      </c>
      <c r="M56" s="82"/>
      <c r="N56" s="83"/>
      <c r="O56" s="84"/>
      <c r="P56" s="83"/>
      <c r="Q56" s="83"/>
      <c r="R56" s="84"/>
    </row>
    <row r="57" spans="1:18" ht="14.25">
      <c r="A57" s="94" t="s">
        <v>283</v>
      </c>
      <c r="B57" s="215" t="s">
        <v>395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/>
      <c r="M57" s="82"/>
      <c r="N57" s="82"/>
      <c r="O57" s="83"/>
      <c r="P57" s="82"/>
      <c r="Q57" s="82"/>
      <c r="R57" s="83">
        <f>SUM(C57:P57)</f>
        <v>0</v>
      </c>
    </row>
    <row r="58" spans="1:18" ht="14.25">
      <c r="A58" s="90" t="s">
        <v>284</v>
      </c>
      <c r="B58" s="76"/>
      <c r="C58" s="76">
        <v>0</v>
      </c>
      <c r="D58" s="76"/>
      <c r="E58" s="76" t="s">
        <v>401</v>
      </c>
      <c r="F58" s="76"/>
      <c r="G58" s="76"/>
      <c r="H58" s="76"/>
      <c r="I58" s="76"/>
      <c r="J58" s="76"/>
      <c r="K58" s="76"/>
      <c r="L58" s="76"/>
      <c r="M58" s="76"/>
      <c r="N58" s="76"/>
      <c r="O58" s="70"/>
      <c r="P58" s="76"/>
      <c r="Q58" s="76"/>
      <c r="R58" s="70">
        <f>SUM(C58:Q58)</f>
        <v>0</v>
      </c>
    </row>
    <row r="59" spans="1:18" ht="14.25">
      <c r="A59" s="94" t="s">
        <v>285</v>
      </c>
      <c r="B59" s="76"/>
      <c r="C59" s="76">
        <v>0</v>
      </c>
      <c r="D59" s="76"/>
      <c r="E59" s="76">
        <v>0</v>
      </c>
      <c r="F59" s="76">
        <v>0</v>
      </c>
      <c r="G59" s="76">
        <v>0</v>
      </c>
      <c r="H59" s="76">
        <v>0</v>
      </c>
      <c r="I59" s="76"/>
      <c r="J59" s="76">
        <v>0</v>
      </c>
      <c r="K59" s="76"/>
      <c r="L59" s="76"/>
      <c r="M59" s="76"/>
      <c r="N59" s="76">
        <v>0</v>
      </c>
      <c r="O59" s="70">
        <v>0</v>
      </c>
      <c r="P59" s="76"/>
      <c r="Q59" s="76"/>
      <c r="R59" s="70">
        <f>SUM(C59:Q59)</f>
        <v>0</v>
      </c>
    </row>
    <row r="60" spans="1:18" ht="14.25">
      <c r="A60" s="94" t="s">
        <v>286</v>
      </c>
      <c r="B60" s="76"/>
      <c r="C60" s="76">
        <v>0</v>
      </c>
      <c r="D60" s="76"/>
      <c r="E60" s="76">
        <v>0</v>
      </c>
      <c r="F60" s="76"/>
      <c r="G60" s="76">
        <v>0</v>
      </c>
      <c r="H60" s="76"/>
      <c r="I60" s="76"/>
      <c r="J60" s="76"/>
      <c r="K60" s="76"/>
      <c r="L60" s="76">
        <v>0</v>
      </c>
      <c r="M60" s="76"/>
      <c r="N60" s="76"/>
      <c r="O60" s="70"/>
      <c r="P60" s="76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v>0</v>
      </c>
      <c r="D61" s="61">
        <v>0</v>
      </c>
      <c r="E61" s="61">
        <f>SUM(E59:E60)</f>
        <v>0</v>
      </c>
      <c r="F61" s="61">
        <f>SUM(F59)</f>
        <v>0</v>
      </c>
      <c r="G61" s="61">
        <f>SUM(G57)</f>
        <v>0</v>
      </c>
      <c r="H61" s="61">
        <v>0</v>
      </c>
      <c r="I61" s="61">
        <v>0</v>
      </c>
      <c r="J61" s="61">
        <v>0</v>
      </c>
      <c r="K61" s="61">
        <v>0</v>
      </c>
      <c r="L61" s="61">
        <f>SUM(L57:L60)</f>
        <v>0</v>
      </c>
      <c r="M61" s="61">
        <v>0</v>
      </c>
      <c r="N61" s="61">
        <v>0</v>
      </c>
      <c r="O61" s="61">
        <f>SUM(O57:O60)</f>
        <v>0</v>
      </c>
      <c r="P61" s="61">
        <v>0</v>
      </c>
      <c r="Q61" s="61"/>
      <c r="R61" s="72">
        <f>SUM(C61:P61)</f>
        <v>0</v>
      </c>
    </row>
    <row r="62" spans="1:18" ht="15" thickBot="1">
      <c r="A62" s="91" t="s">
        <v>37</v>
      </c>
      <c r="B62" s="93"/>
      <c r="C62" s="80"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f>SUM(L61)</f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0</v>
      </c>
    </row>
    <row r="63" spans="1:18" ht="15" thickTop="1">
      <c r="A63" s="94" t="s">
        <v>287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84"/>
      <c r="P63" s="83"/>
      <c r="Q63" s="83"/>
      <c r="R63" s="84"/>
    </row>
    <row r="64" spans="1:18" ht="14.25">
      <c r="A64" s="94" t="s">
        <v>288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3"/>
      <c r="P64" s="82"/>
      <c r="Q64" s="82"/>
      <c r="R64" s="83">
        <f>SUM(C64:P64)</f>
        <v>0</v>
      </c>
    </row>
    <row r="65" spans="1:18" ht="14.25">
      <c r="A65" s="90" t="s">
        <v>289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0"/>
      <c r="P65" s="76"/>
      <c r="Q65" s="76"/>
      <c r="R65" s="70"/>
    </row>
    <row r="66" spans="1:18" ht="14.25">
      <c r="A66" s="94" t="s">
        <v>290</v>
      </c>
      <c r="B66" s="76"/>
      <c r="C66" s="76"/>
      <c r="D66" s="76"/>
      <c r="E66" s="76">
        <v>0</v>
      </c>
      <c r="F66" s="76"/>
      <c r="G66" s="76"/>
      <c r="H66" s="76">
        <v>0</v>
      </c>
      <c r="I66" s="76"/>
      <c r="J66" s="76"/>
      <c r="K66" s="76"/>
      <c r="L66" s="76"/>
      <c r="M66" s="76"/>
      <c r="N66" s="76"/>
      <c r="O66" s="70"/>
      <c r="P66" s="76"/>
      <c r="Q66" s="76"/>
      <c r="R66" s="70">
        <f>SUM(C66:P66)</f>
        <v>0</v>
      </c>
    </row>
    <row r="67" spans="1:18" ht="14.25">
      <c r="A67" s="94" t="s">
        <v>291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0"/>
      <c r="P67" s="76"/>
      <c r="Q67" s="76"/>
      <c r="R67" s="70">
        <f>SUM(H67:Q67)</f>
        <v>0</v>
      </c>
    </row>
    <row r="68" spans="1:18" ht="14.25">
      <c r="A68" s="94" t="s">
        <v>292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0"/>
      <c r="P68" s="76"/>
      <c r="Q68" s="76"/>
      <c r="R68" s="70"/>
    </row>
    <row r="69" spans="1:18" ht="14.25">
      <c r="A69" s="94" t="s">
        <v>293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>
        <v>0</v>
      </c>
      <c r="M69" s="76"/>
      <c r="N69" s="76"/>
      <c r="O69" s="70"/>
      <c r="P69" s="76"/>
      <c r="Q69" s="76"/>
      <c r="R69" s="70">
        <f>SUM(L69:Q69)</f>
        <v>0</v>
      </c>
    </row>
    <row r="70" spans="1:18" ht="14.25">
      <c r="A70" s="94" t="s">
        <v>294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0"/>
      <c r="P70" s="76"/>
      <c r="Q70" s="76"/>
      <c r="R70" s="70"/>
    </row>
    <row r="71" spans="1:18" ht="14.25">
      <c r="A71" s="94" t="s">
        <v>295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0"/>
      <c r="P71" s="76"/>
      <c r="Q71" s="76"/>
      <c r="R71" s="70">
        <f>SUM(C71:Q71)</f>
        <v>0</v>
      </c>
    </row>
    <row r="72" spans="1:18" ht="14.25">
      <c r="A72" s="94" t="s">
        <v>296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0"/>
      <c r="P72" s="76"/>
      <c r="Q72" s="76"/>
      <c r="R72" s="70">
        <v>0</v>
      </c>
    </row>
    <row r="73" spans="1:18" ht="14.25">
      <c r="A73" s="94" t="s">
        <v>297</v>
      </c>
      <c r="B73" s="76"/>
      <c r="C73" s="76">
        <v>0</v>
      </c>
      <c r="D73" s="76"/>
      <c r="E73" s="76">
        <v>0</v>
      </c>
      <c r="F73" s="76"/>
      <c r="G73" s="76"/>
      <c r="H73" s="76"/>
      <c r="I73" s="76"/>
      <c r="J73" s="76"/>
      <c r="K73" s="76"/>
      <c r="L73" s="76">
        <v>0</v>
      </c>
      <c r="M73" s="76"/>
      <c r="N73" s="76"/>
      <c r="O73" s="70"/>
      <c r="P73" s="76"/>
      <c r="Q73" s="76"/>
      <c r="R73" s="70">
        <f>SUM(C73:E73)</f>
        <v>0</v>
      </c>
    </row>
    <row r="74" spans="1:18" ht="14.25">
      <c r="A74" s="94" t="s">
        <v>298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0"/>
      <c r="P74" s="76"/>
      <c r="Q74" s="76"/>
      <c r="R74" s="70"/>
    </row>
    <row r="75" spans="1:18" ht="14.25">
      <c r="A75" s="94" t="s">
        <v>299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0"/>
      <c r="P75" s="76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SUM(G64)</f>
        <v>0</v>
      </c>
      <c r="H76" s="61">
        <f>SUM(H64:H75)</f>
        <v>0</v>
      </c>
      <c r="I76" s="61">
        <v>0</v>
      </c>
      <c r="J76" s="61">
        <v>0</v>
      </c>
      <c r="K76" s="61">
        <v>0</v>
      </c>
      <c r="L76" s="61">
        <f>SUM(L65:L75)</f>
        <v>0</v>
      </c>
      <c r="M76" s="61">
        <v>0</v>
      </c>
      <c r="N76" s="61">
        <v>0</v>
      </c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115</v>
      </c>
      <c r="B81" s="349" t="s">
        <v>92</v>
      </c>
      <c r="C81" s="350" t="s">
        <v>93</v>
      </c>
      <c r="D81" s="350"/>
      <c r="E81" s="350"/>
      <c r="F81" s="87" t="s">
        <v>94</v>
      </c>
      <c r="G81" s="350" t="s">
        <v>95</v>
      </c>
      <c r="H81" s="350"/>
      <c r="I81" s="350" t="s">
        <v>96</v>
      </c>
      <c r="J81" s="350"/>
      <c r="K81" s="87" t="s">
        <v>97</v>
      </c>
      <c r="L81" s="350" t="s">
        <v>98</v>
      </c>
      <c r="M81" s="350"/>
      <c r="N81" s="350" t="s">
        <v>99</v>
      </c>
      <c r="O81" s="350"/>
      <c r="P81" s="351" t="s">
        <v>113</v>
      </c>
      <c r="Q81" s="352"/>
      <c r="R81" s="353" t="s">
        <v>19</v>
      </c>
    </row>
    <row r="82" spans="1:18" s="64" customFormat="1" ht="13.5" customHeight="1">
      <c r="A82" s="66" t="s">
        <v>116</v>
      </c>
      <c r="B82" s="349"/>
      <c r="C82" s="87" t="s">
        <v>100</v>
      </c>
      <c r="D82" s="87" t="s">
        <v>111</v>
      </c>
      <c r="E82" s="87" t="s">
        <v>101</v>
      </c>
      <c r="F82" s="87" t="s">
        <v>102</v>
      </c>
      <c r="G82" s="87" t="s">
        <v>103</v>
      </c>
      <c r="H82" s="87" t="s">
        <v>104</v>
      </c>
      <c r="I82" s="87" t="s">
        <v>105</v>
      </c>
      <c r="J82" s="87" t="s">
        <v>106</v>
      </c>
      <c r="K82" s="87" t="s">
        <v>112</v>
      </c>
      <c r="L82" s="87" t="s">
        <v>107</v>
      </c>
      <c r="M82" s="87" t="s">
        <v>108</v>
      </c>
      <c r="N82" s="87" t="s">
        <v>109</v>
      </c>
      <c r="O82" s="87" t="s">
        <v>110</v>
      </c>
      <c r="P82" s="87" t="s">
        <v>325</v>
      </c>
      <c r="Q82" s="192" t="s">
        <v>114</v>
      </c>
      <c r="R82" s="354"/>
    </row>
    <row r="83" spans="1:18" ht="13.5" customHeight="1">
      <c r="A83" s="92" t="s">
        <v>300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301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302</v>
      </c>
      <c r="B85" s="70"/>
      <c r="C85" s="70">
        <v>0</v>
      </c>
      <c r="D85" s="70"/>
      <c r="E85" s="70"/>
      <c r="F85" s="70"/>
      <c r="G85" s="70">
        <v>0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303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304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13.5" customHeight="1">
      <c r="A88" s="90" t="s">
        <v>305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  <c r="P89" s="61">
        <v>0</v>
      </c>
      <c r="Q89" s="61"/>
      <c r="R89" s="72">
        <f>SUM(C89:P89)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306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5"/>
      <c r="P91" s="74"/>
      <c r="Q91" s="74"/>
      <c r="R91" s="75"/>
    </row>
    <row r="92" spans="1:18" ht="13.5" customHeight="1">
      <c r="A92" s="90" t="s">
        <v>307</v>
      </c>
      <c r="B92" s="76"/>
      <c r="C92" s="76"/>
      <c r="D92" s="76"/>
      <c r="E92" s="76"/>
      <c r="F92" s="76"/>
      <c r="G92" s="76"/>
      <c r="H92" s="76"/>
      <c r="I92" s="76"/>
      <c r="J92" s="82"/>
      <c r="K92" s="76"/>
      <c r="L92" s="76"/>
      <c r="M92" s="76"/>
      <c r="N92" s="76"/>
      <c r="O92" s="70"/>
      <c r="P92" s="76"/>
      <c r="Q92" s="76"/>
      <c r="R92" s="70"/>
    </row>
    <row r="93" spans="1:18" ht="13.5" customHeight="1">
      <c r="A93" s="90" t="s">
        <v>308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0"/>
      <c r="P93" s="76"/>
      <c r="Q93" s="76"/>
      <c r="R93" s="70"/>
    </row>
    <row r="94" spans="1:18" ht="13.5" customHeight="1">
      <c r="A94" s="90" t="s">
        <v>309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0"/>
      <c r="P94" s="76"/>
      <c r="Q94" s="76"/>
      <c r="R94" s="70"/>
    </row>
    <row r="95" spans="1:18" ht="13.5" customHeight="1">
      <c r="A95" s="90" t="s">
        <v>310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0"/>
      <c r="P95" s="76"/>
      <c r="Q95" s="76"/>
      <c r="R95" s="70"/>
    </row>
    <row r="96" spans="1:18" ht="13.5" customHeight="1">
      <c r="A96" s="90" t="s">
        <v>311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0"/>
      <c r="P96" s="76"/>
      <c r="Q96" s="76"/>
      <c r="R96" s="70"/>
    </row>
    <row r="97" spans="1:18" ht="13.5" customHeight="1">
      <c r="A97" s="94" t="s">
        <v>312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3"/>
      <c r="P97" s="82"/>
      <c r="Q97" s="82"/>
      <c r="R97" s="83"/>
    </row>
    <row r="98" spans="1:18" ht="13.5" customHeight="1">
      <c r="A98" s="90" t="s">
        <v>313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0"/>
      <c r="P98" s="76"/>
      <c r="Q98" s="76"/>
      <c r="R98" s="70"/>
    </row>
    <row r="99" spans="1:18" ht="13.5" customHeight="1">
      <c r="A99" s="94" t="s">
        <v>314</v>
      </c>
      <c r="B99" s="77"/>
      <c r="C99" s="77">
        <v>0</v>
      </c>
      <c r="D99" s="77"/>
      <c r="E99" s="77"/>
      <c r="F99" s="77"/>
      <c r="G99" s="77">
        <v>0</v>
      </c>
      <c r="H99" s="151"/>
      <c r="I99" s="77"/>
      <c r="J99" s="77"/>
      <c r="K99" s="77"/>
      <c r="L99" s="77"/>
      <c r="M99" s="77"/>
      <c r="N99" s="77"/>
      <c r="O99" s="67"/>
      <c r="P99" s="77"/>
      <c r="Q99" s="77"/>
      <c r="R99" s="213">
        <f>SUM(C99)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SUM(G99)</f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/>
      <c r="R100" s="72">
        <f>SUM(C100)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315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3"/>
      <c r="O102" s="83"/>
      <c r="P102" s="83"/>
      <c r="Q102" s="83"/>
      <c r="R102" s="84"/>
    </row>
    <row r="103" spans="1:18" ht="13.5" customHeight="1">
      <c r="A103" s="94" t="s">
        <v>316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3"/>
      <c r="P103" s="82"/>
      <c r="Q103" s="82"/>
      <c r="R103" s="83"/>
    </row>
    <row r="104" spans="1:18" ht="13.5" customHeight="1">
      <c r="A104" s="94" t="s">
        <v>317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  <c r="P104" s="82"/>
      <c r="Q104" s="82"/>
      <c r="R104" s="83"/>
    </row>
    <row r="105" spans="1:18" ht="13.5" customHeight="1">
      <c r="A105" s="90" t="s">
        <v>318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0"/>
      <c r="P105" s="76"/>
      <c r="Q105" s="76">
        <v>488000</v>
      </c>
      <c r="R105" s="70">
        <f>SUM(Q105)</f>
        <v>488000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f>SUM(Q105)</f>
        <v>488000</v>
      </c>
      <c r="R106" s="61">
        <f>SUM(D106:Q106)</f>
        <v>488000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0</v>
      </c>
      <c r="N107" s="93">
        <v>0</v>
      </c>
      <c r="O107" s="93">
        <v>0</v>
      </c>
      <c r="P107" s="93">
        <v>0</v>
      </c>
      <c r="Q107" s="93">
        <f>964000+448800+815000+764200+407100+488000</f>
        <v>3887100</v>
      </c>
      <c r="R107" s="73">
        <f>SUM(Q107)</f>
        <v>3887100</v>
      </c>
    </row>
    <row r="108" spans="1:18" ht="13.5" customHeight="1" thickTop="1">
      <c r="A108" s="94" t="s">
        <v>319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3"/>
      <c r="N108" s="82"/>
      <c r="O108" s="84"/>
      <c r="P108" s="82"/>
      <c r="Q108" s="82"/>
      <c r="R108" s="70"/>
    </row>
    <row r="109" spans="1:18" ht="13.5" customHeight="1">
      <c r="A109" s="94" t="s">
        <v>320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0"/>
      <c r="P109" s="76"/>
      <c r="Q109" s="76"/>
      <c r="R109" s="70">
        <f>SUM(C109:Q109)</f>
        <v>0</v>
      </c>
    </row>
    <row r="110" spans="1:18" ht="13.5" customHeight="1">
      <c r="A110" s="94" t="s">
        <v>321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/>
      <c r="M110" s="76"/>
      <c r="N110" s="76"/>
      <c r="O110" s="76">
        <v>0</v>
      </c>
      <c r="P110" s="70"/>
      <c r="Q110" s="70"/>
      <c r="R110" s="70">
        <f>SUM(C110:P110)</f>
        <v>0</v>
      </c>
    </row>
    <row r="111" spans="1:18" ht="13.5" customHeight="1">
      <c r="A111" s="90" t="s">
        <v>322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0"/>
      <c r="Q111" s="70"/>
      <c r="R111" s="70">
        <f>SUM(C111:P111)</f>
        <v>0</v>
      </c>
    </row>
    <row r="112" spans="1:18" ht="13.5" customHeight="1">
      <c r="A112" s="90" t="s">
        <v>36</v>
      </c>
      <c r="B112" s="61"/>
      <c r="C112" s="61">
        <f>SUM(C109:C111)</f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f>SUM(M108:M111)</f>
        <v>0</v>
      </c>
      <c r="N112" s="61">
        <f>SUM(N110:N111)</f>
        <v>0</v>
      </c>
      <c r="O112" s="61">
        <f>SUM(O110:O111)</f>
        <v>0</v>
      </c>
      <c r="P112" s="61">
        <f>SUM(P108:P111)</f>
        <v>0</v>
      </c>
      <c r="Q112" s="61"/>
      <c r="R112" s="61">
        <f>SUM(C112:P112)</f>
        <v>0</v>
      </c>
    </row>
    <row r="113" spans="1:18" ht="13.5" customHeight="1" thickBot="1">
      <c r="A113" s="91" t="s">
        <v>37</v>
      </c>
      <c r="B113" s="93"/>
      <c r="C113" s="93">
        <v>0</v>
      </c>
      <c r="D113" s="93">
        <v>0</v>
      </c>
      <c r="E113" s="93">
        <v>0</v>
      </c>
      <c r="F113" s="93">
        <v>0</v>
      </c>
      <c r="G113" s="93">
        <v>0</v>
      </c>
      <c r="H113" s="93">
        <v>0</v>
      </c>
      <c r="I113" s="93">
        <v>0</v>
      </c>
      <c r="J113" s="93">
        <v>0</v>
      </c>
      <c r="K113" s="93">
        <v>0</v>
      </c>
      <c r="L113" s="93">
        <v>0</v>
      </c>
      <c r="M113" s="93">
        <v>0</v>
      </c>
      <c r="N113" s="93">
        <f>SUM(N111:N112)</f>
        <v>0</v>
      </c>
      <c r="O113" s="93">
        <v>0</v>
      </c>
      <c r="P113" s="93">
        <v>0</v>
      </c>
      <c r="Q113" s="93"/>
      <c r="R113" s="93">
        <f>SUM(C113:P113)</f>
        <v>0</v>
      </c>
    </row>
    <row r="114" spans="1:18" ht="13.5" customHeight="1" thickTop="1">
      <c r="A114" s="94" t="s">
        <v>323</v>
      </c>
      <c r="B114" s="7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3"/>
      <c r="P114" s="82"/>
      <c r="Q114" s="82"/>
      <c r="R114" s="83"/>
    </row>
    <row r="115" spans="1:18" ht="13.5" customHeight="1">
      <c r="A115" s="94" t="s">
        <v>324</v>
      </c>
      <c r="B115" s="78"/>
      <c r="C115" s="77"/>
      <c r="D115" s="77">
        <v>0</v>
      </c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67"/>
      <c r="P115" s="77"/>
      <c r="Q115" s="77"/>
      <c r="R115" s="67">
        <f>SUM(B115:P115)</f>
        <v>0</v>
      </c>
    </row>
    <row r="116" spans="1:18" ht="13.5" customHeight="1">
      <c r="A116" s="90" t="s">
        <v>36</v>
      </c>
      <c r="B116" s="61">
        <v>0</v>
      </c>
      <c r="C116" s="61">
        <v>0</v>
      </c>
      <c r="D116" s="61">
        <f>SUM(D115)</f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/>
      <c r="R116" s="61">
        <f>SUM(B116:P116)</f>
        <v>0</v>
      </c>
    </row>
    <row r="117" spans="1:18" ht="13.5" customHeight="1" thickBot="1">
      <c r="A117" s="91" t="s">
        <v>37</v>
      </c>
      <c r="B117" s="93">
        <v>0</v>
      </c>
      <c r="C117" s="93">
        <v>0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93">
        <v>0</v>
      </c>
      <c r="P117" s="93">
        <v>0</v>
      </c>
      <c r="Q117" s="93"/>
      <c r="R117" s="93">
        <f>SUM(B117:P117)</f>
        <v>0</v>
      </c>
    </row>
    <row r="118" spans="1:18" ht="13.5" customHeight="1" thickTop="1">
      <c r="A118" s="90" t="s">
        <v>36</v>
      </c>
      <c r="B118" s="72">
        <f>SUM(B13)</f>
        <v>0</v>
      </c>
      <c r="C118" s="61">
        <f>SUM(C22+C28+C33+C46+C54+C61+C76+C89+C100+C106++C112)</f>
        <v>0</v>
      </c>
      <c r="D118" s="150">
        <v>0</v>
      </c>
      <c r="E118" s="150">
        <f>SUM(E22+E28+E33+E46+E54+E61+E76+E89+E100+E106+E112)</f>
        <v>0</v>
      </c>
      <c r="F118" s="150">
        <f>SUM(F61)</f>
        <v>0</v>
      </c>
      <c r="G118" s="150">
        <f>SUM(G28+G46+G54+G61+G76+G89+G100+G106+G112)</f>
        <v>0</v>
      </c>
      <c r="H118" s="150">
        <f>SUM(H46+H61+H112)</f>
        <v>0</v>
      </c>
      <c r="I118" s="150">
        <f>SUM(I46+I54+I61+I76+I89+I100+I106+I112)</f>
        <v>0</v>
      </c>
      <c r="J118" s="150">
        <f>SUM(J46+J54+J61+J76+J89+J100+J106+J112)</f>
        <v>0</v>
      </c>
      <c r="K118" s="150">
        <v>0</v>
      </c>
      <c r="L118" s="150">
        <f>SUM(L28+L33+L46+L54+L61+L76+L89+L100+L106+L112)</f>
        <v>0</v>
      </c>
      <c r="M118" s="150">
        <v>0</v>
      </c>
      <c r="N118" s="150">
        <f>SUM(N61)</f>
        <v>0</v>
      </c>
      <c r="O118" s="150">
        <f>SUM(O13+O22+O28+O33+O46+O54+O61+O76+O89+O100+O106+O112)</f>
        <v>0</v>
      </c>
      <c r="P118" s="150">
        <v>0</v>
      </c>
      <c r="Q118" s="150">
        <f>SUM(Q106)</f>
        <v>488000</v>
      </c>
      <c r="R118" s="72">
        <f>SUM(B118:Q118)</f>
        <v>488000</v>
      </c>
    </row>
    <row r="119" spans="1:18" ht="13.5" customHeight="1" thickBot="1">
      <c r="A119" s="91" t="s">
        <v>37</v>
      </c>
      <c r="B119" s="73">
        <v>0</v>
      </c>
      <c r="C119" s="93">
        <v>0</v>
      </c>
      <c r="D119" s="93">
        <v>0</v>
      </c>
      <c r="E119" s="93">
        <v>0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3">
        <v>0</v>
      </c>
      <c r="N119" s="93">
        <v>0</v>
      </c>
      <c r="O119" s="93">
        <v>0</v>
      </c>
      <c r="P119" s="93">
        <v>0</v>
      </c>
      <c r="Q119" s="93">
        <f>964000+448800+815000+764200+407100+488000</f>
        <v>3887100</v>
      </c>
      <c r="R119" s="73">
        <f>SUM(B119:Q119)</f>
        <v>3887100</v>
      </c>
    </row>
    <row r="120" ht="15" thickTop="1"/>
  </sheetData>
  <sheetProtection/>
  <mergeCells count="28">
    <mergeCell ref="P81:Q81"/>
    <mergeCell ref="R81:R82"/>
    <mergeCell ref="B81:B82"/>
    <mergeCell ref="C81:E81"/>
    <mergeCell ref="G81:H81"/>
    <mergeCell ref="I81:J81"/>
    <mergeCell ref="L81:M81"/>
    <mergeCell ref="N81:O81"/>
    <mergeCell ref="P5:Q5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H4:J4"/>
    <mergeCell ref="A1:R1"/>
    <mergeCell ref="A2:R2"/>
    <mergeCell ref="A3:R3"/>
    <mergeCell ref="B5:B6"/>
    <mergeCell ref="C5:E5"/>
    <mergeCell ref="G5:H5"/>
    <mergeCell ref="I5:J5"/>
    <mergeCell ref="L5:M5"/>
    <mergeCell ref="N5:O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0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4" width="7.140625" style="81" customWidth="1"/>
    <col min="15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7" t="s">
        <v>91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</row>
    <row r="2" spans="1:18" ht="16.5">
      <c r="A2" s="347" t="s">
        <v>406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</row>
    <row r="3" spans="1:18" ht="16.5">
      <c r="A3" s="348" t="s">
        <v>555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</row>
    <row r="4" s="123" customFormat="1" ht="14.25">
      <c r="Q4" s="191"/>
    </row>
    <row r="5" spans="1:18" s="64" customFormat="1" ht="14.25">
      <c r="A5" s="65" t="s">
        <v>115</v>
      </c>
      <c r="B5" s="349" t="s">
        <v>92</v>
      </c>
      <c r="C5" s="350" t="s">
        <v>93</v>
      </c>
      <c r="D5" s="350"/>
      <c r="E5" s="350"/>
      <c r="F5" s="87" t="s">
        <v>94</v>
      </c>
      <c r="G5" s="350" t="s">
        <v>95</v>
      </c>
      <c r="H5" s="350"/>
      <c r="I5" s="350" t="s">
        <v>96</v>
      </c>
      <c r="J5" s="350"/>
      <c r="K5" s="350" t="s">
        <v>98</v>
      </c>
      <c r="L5" s="350"/>
      <c r="M5" s="351" t="s">
        <v>392</v>
      </c>
      <c r="N5" s="352"/>
      <c r="O5" s="350" t="s">
        <v>99</v>
      </c>
      <c r="P5" s="350"/>
      <c r="Q5" s="281" t="s">
        <v>113</v>
      </c>
      <c r="R5" s="353" t="s">
        <v>19</v>
      </c>
    </row>
    <row r="6" spans="1:18" s="64" customFormat="1" ht="14.25">
      <c r="A6" s="66" t="s">
        <v>116</v>
      </c>
      <c r="B6" s="349"/>
      <c r="C6" s="87" t="s">
        <v>100</v>
      </c>
      <c r="D6" s="87" t="s">
        <v>111</v>
      </c>
      <c r="E6" s="87" t="s">
        <v>101</v>
      </c>
      <c r="F6" s="87" t="s">
        <v>102</v>
      </c>
      <c r="G6" s="87" t="s">
        <v>103</v>
      </c>
      <c r="H6" s="87" t="s">
        <v>104</v>
      </c>
      <c r="I6" s="87" t="s">
        <v>105</v>
      </c>
      <c r="J6" s="87" t="s">
        <v>106</v>
      </c>
      <c r="K6" s="87" t="s">
        <v>107</v>
      </c>
      <c r="L6" s="87" t="s">
        <v>108</v>
      </c>
      <c r="M6" s="87" t="s">
        <v>467</v>
      </c>
      <c r="N6" s="87" t="s">
        <v>391</v>
      </c>
      <c r="O6" s="87" t="s">
        <v>109</v>
      </c>
      <c r="P6" s="87" t="s">
        <v>110</v>
      </c>
      <c r="Q6" s="192" t="s">
        <v>114</v>
      </c>
      <c r="R6" s="354"/>
    </row>
    <row r="7" spans="1:18" ht="14.25">
      <c r="A7" s="88" t="s">
        <v>255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256</v>
      </c>
      <c r="B8" s="67">
        <v>5002</v>
      </c>
      <c r="C8" s="67"/>
      <c r="D8" s="67"/>
      <c r="E8" s="67" t="s">
        <v>253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5002</v>
      </c>
    </row>
    <row r="9" spans="1:18" ht="14.25">
      <c r="A9" s="90" t="s">
        <v>257</v>
      </c>
      <c r="B9" s="70">
        <v>2000</v>
      </c>
      <c r="C9" s="70"/>
      <c r="D9" s="70"/>
      <c r="E9" s="70"/>
      <c r="F9" s="70"/>
      <c r="G9" s="70"/>
      <c r="H9" s="70" t="s">
        <v>253</v>
      </c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2000</v>
      </c>
    </row>
    <row r="10" spans="1:18" ht="14.25">
      <c r="A10" s="90" t="s">
        <v>258</v>
      </c>
      <c r="B10" s="70">
        <f>72215+7600</f>
        <v>79815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79815</v>
      </c>
    </row>
    <row r="11" spans="1:18" ht="14.25">
      <c r="A11" s="90" t="s">
        <v>259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260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SUM(B8:B12)</f>
        <v>86817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/>
      <c r="N13" s="61"/>
      <c r="O13" s="61">
        <v>0</v>
      </c>
      <c r="P13" s="61">
        <v>0</v>
      </c>
      <c r="Q13" s="61"/>
      <c r="R13" s="72">
        <f>SUM(B13:Q13)</f>
        <v>86817</v>
      </c>
    </row>
    <row r="14" spans="1:18" ht="15" thickBot="1">
      <c r="A14" s="91" t="s">
        <v>37</v>
      </c>
      <c r="B14" s="73">
        <f>54652+155486+7752+127752+7752+7752+22005+469968</f>
        <v>853119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/>
      <c r="O14" s="61">
        <v>0</v>
      </c>
      <c r="P14" s="61">
        <v>0</v>
      </c>
      <c r="Q14" s="190"/>
      <c r="R14" s="73">
        <f>SUM(B14:P14)</f>
        <v>853119</v>
      </c>
    </row>
    <row r="15" spans="1:18" ht="15" thickTop="1">
      <c r="A15" s="92" t="s">
        <v>261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 t="s">
        <v>446</v>
      </c>
    </row>
    <row r="16" spans="1:18" ht="14.25">
      <c r="A16" s="90" t="s">
        <v>262</v>
      </c>
      <c r="B16" s="76"/>
      <c r="C16" s="70">
        <v>42840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3">SUM(C16:P16)</f>
        <v>42840</v>
      </c>
    </row>
    <row r="17" spans="1:18" ht="14.25">
      <c r="A17" s="89" t="s">
        <v>263</v>
      </c>
      <c r="B17" s="77"/>
      <c r="C17" s="77">
        <v>3510</v>
      </c>
      <c r="D17" s="77"/>
      <c r="E17" s="77">
        <v>0</v>
      </c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3510</v>
      </c>
    </row>
    <row r="18" spans="1:18" ht="14.25">
      <c r="A18" s="90" t="s">
        <v>264</v>
      </c>
      <c r="B18" s="76"/>
      <c r="C18" s="76">
        <v>3510</v>
      </c>
      <c r="D18" s="76"/>
      <c r="E18" s="76">
        <v>0</v>
      </c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3510</v>
      </c>
    </row>
    <row r="19" spans="1:18" ht="14.25">
      <c r="A19" s="90" t="s">
        <v>265</v>
      </c>
      <c r="B19" s="76"/>
      <c r="C19" s="70">
        <v>7200</v>
      </c>
      <c r="D19" s="76"/>
      <c r="E19" s="76">
        <v>0</v>
      </c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7200</v>
      </c>
    </row>
    <row r="20" spans="1:18" ht="14.25">
      <c r="A20" s="89" t="s">
        <v>266</v>
      </c>
      <c r="B20" s="77"/>
      <c r="C20" s="77">
        <v>171600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171600</v>
      </c>
    </row>
    <row r="21" spans="1:18" ht="14.25">
      <c r="A21" s="90" t="s">
        <v>267</v>
      </c>
      <c r="B21" s="76"/>
      <c r="C21" s="70">
        <v>7200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7200</v>
      </c>
    </row>
    <row r="22" spans="1:18" ht="14.25">
      <c r="A22" s="90" t="s">
        <v>36</v>
      </c>
      <c r="B22" s="61"/>
      <c r="C22" s="79">
        <f>SUM(C16:C21)</f>
        <v>235860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/>
      <c r="N22" s="61"/>
      <c r="O22" s="61">
        <v>0</v>
      </c>
      <c r="P22" s="61">
        <v>0</v>
      </c>
      <c r="Q22" s="61"/>
      <c r="R22" s="72">
        <f t="shared" si="0"/>
        <v>235860</v>
      </c>
    </row>
    <row r="23" spans="1:18" ht="15" thickBot="1">
      <c r="A23" s="91" t="s">
        <v>37</v>
      </c>
      <c r="B23" s="93"/>
      <c r="C23" s="80">
        <f>235860+235860+235860+235860+235860+235860+235860+1886880</f>
        <v>3537900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/>
      <c r="N23" s="93"/>
      <c r="O23" s="93">
        <v>0</v>
      </c>
      <c r="P23" s="93">
        <v>0</v>
      </c>
      <c r="Q23" s="93"/>
      <c r="R23" s="73">
        <f t="shared" si="0"/>
        <v>3537900</v>
      </c>
    </row>
    <row r="24" spans="1:18" ht="15" thickTop="1">
      <c r="A24" s="89" t="s">
        <v>268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3"/>
      <c r="Q24" s="77"/>
      <c r="R24" s="67"/>
    </row>
    <row r="25" spans="1:18" ht="14.25">
      <c r="A25" s="90" t="s">
        <v>269</v>
      </c>
      <c r="B25" s="76"/>
      <c r="C25" s="76">
        <v>178780</v>
      </c>
      <c r="D25" s="76"/>
      <c r="E25" s="76">
        <v>92440</v>
      </c>
      <c r="F25" s="76"/>
      <c r="G25" s="76">
        <v>23080</v>
      </c>
      <c r="H25" s="76"/>
      <c r="I25" s="76"/>
      <c r="J25" s="76"/>
      <c r="K25" s="76">
        <v>59850</v>
      </c>
      <c r="L25" s="76"/>
      <c r="M25" s="76"/>
      <c r="N25" s="76"/>
      <c r="O25" s="76"/>
      <c r="P25" s="70"/>
      <c r="Q25" s="76"/>
      <c r="R25" s="70">
        <f>SUM(C25:Q25)</f>
        <v>354150</v>
      </c>
    </row>
    <row r="26" spans="1:18" ht="14.25">
      <c r="A26" s="90" t="s">
        <v>270</v>
      </c>
      <c r="B26" s="76"/>
      <c r="C26" s="76"/>
      <c r="D26" s="76"/>
      <c r="E26" s="76"/>
      <c r="F26" s="76"/>
      <c r="G26" s="76"/>
      <c r="H26" s="76"/>
      <c r="I26" s="76"/>
      <c r="J26" s="76"/>
      <c r="K26" s="76">
        <v>1325</v>
      </c>
      <c r="L26" s="76"/>
      <c r="M26" s="76"/>
      <c r="N26" s="76"/>
      <c r="O26" s="76"/>
      <c r="P26" s="70"/>
      <c r="Q26" s="76"/>
      <c r="R26" s="70">
        <f>SUM(C26:P26)</f>
        <v>1325</v>
      </c>
    </row>
    <row r="27" spans="1:18" ht="14.25">
      <c r="A27" s="89" t="s">
        <v>271</v>
      </c>
      <c r="B27" s="77"/>
      <c r="C27" s="77">
        <v>28700</v>
      </c>
      <c r="D27" s="77"/>
      <c r="E27" s="77">
        <v>3500</v>
      </c>
      <c r="F27" s="77"/>
      <c r="G27" s="77">
        <v>3500</v>
      </c>
      <c r="H27" s="77"/>
      <c r="I27" s="77"/>
      <c r="J27" s="77"/>
      <c r="K27" s="77">
        <v>3500</v>
      </c>
      <c r="L27" s="77"/>
      <c r="M27" s="77"/>
      <c r="N27" s="77"/>
      <c r="O27" s="77"/>
      <c r="P27" s="67"/>
      <c r="Q27" s="77"/>
      <c r="R27" s="67">
        <f>SUM(C27:Q27)</f>
        <v>39200</v>
      </c>
    </row>
    <row r="28" spans="1:18" ht="14.25">
      <c r="A28" s="90" t="s">
        <v>36</v>
      </c>
      <c r="B28" s="61"/>
      <c r="C28" s="79">
        <f>SUM(C25:C27)</f>
        <v>207480</v>
      </c>
      <c r="D28" s="61">
        <v>0</v>
      </c>
      <c r="E28" s="61">
        <f>SUM(E25:E27)</f>
        <v>95940</v>
      </c>
      <c r="F28" s="61">
        <v>0</v>
      </c>
      <c r="G28" s="61">
        <f>SUM(G25:G27)</f>
        <v>26580</v>
      </c>
      <c r="H28" s="61">
        <v>0</v>
      </c>
      <c r="I28" s="61">
        <v>0</v>
      </c>
      <c r="J28" s="61">
        <v>0</v>
      </c>
      <c r="K28" s="61">
        <f>SUM(K25:K27)</f>
        <v>64675</v>
      </c>
      <c r="L28" s="61">
        <v>0</v>
      </c>
      <c r="M28" s="61"/>
      <c r="N28" s="61"/>
      <c r="O28" s="61">
        <v>0</v>
      </c>
      <c r="P28" s="61">
        <v>0</v>
      </c>
      <c r="Q28" s="61"/>
      <c r="R28" s="61">
        <f>SUM(C28:P28)</f>
        <v>394675</v>
      </c>
    </row>
    <row r="29" spans="1:18" ht="15" thickBot="1">
      <c r="A29" s="91" t="s">
        <v>37</v>
      </c>
      <c r="B29" s="93"/>
      <c r="C29" s="80">
        <f>185100+183970+183970+255893+189310+189310+193480+207480</f>
        <v>1588513</v>
      </c>
      <c r="D29" s="93">
        <v>0</v>
      </c>
      <c r="E29" s="93">
        <f>90510+90510+90510+140729+93840+93840+95940+95940</f>
        <v>791819</v>
      </c>
      <c r="F29" s="93">
        <v>0</v>
      </c>
      <c r="G29" s="93">
        <f>25120+25120+25120+36960+25990+25990+26580+26580</f>
        <v>217460</v>
      </c>
      <c r="H29" s="93">
        <v>0</v>
      </c>
      <c r="I29" s="93">
        <v>0</v>
      </c>
      <c r="J29" s="93">
        <v>0</v>
      </c>
      <c r="K29" s="93">
        <f>60390+60390+60390+77601+71719+65005+64675+64675</f>
        <v>524845</v>
      </c>
      <c r="L29" s="93">
        <v>0</v>
      </c>
      <c r="M29" s="93"/>
      <c r="N29" s="93"/>
      <c r="O29" s="93">
        <v>0</v>
      </c>
      <c r="P29" s="93">
        <v>0</v>
      </c>
      <c r="Q29" s="93"/>
      <c r="R29" s="93">
        <f>SUM(C29:P29)</f>
        <v>3122637</v>
      </c>
    </row>
    <row r="30" spans="1:18" ht="15" thickTop="1">
      <c r="A30" s="89" t="s">
        <v>268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7"/>
      <c r="Q30" s="77"/>
      <c r="R30" s="84"/>
    </row>
    <row r="31" spans="1:18" ht="14.25">
      <c r="A31" s="90" t="s">
        <v>272</v>
      </c>
      <c r="B31" s="76"/>
      <c r="C31" s="76">
        <v>13760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>
        <v>0</v>
      </c>
      <c r="L31" s="76"/>
      <c r="M31" s="76"/>
      <c r="N31" s="76"/>
      <c r="O31" s="76"/>
      <c r="P31" s="70"/>
      <c r="Q31" s="76"/>
      <c r="R31" s="70">
        <f>SUM(C31:P31)</f>
        <v>13760</v>
      </c>
    </row>
    <row r="32" spans="1:18" ht="14.25">
      <c r="A32" s="89" t="s">
        <v>273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>
        <v>0</v>
      </c>
      <c r="L32" s="77"/>
      <c r="M32" s="77"/>
      <c r="N32" s="77"/>
      <c r="O32" s="77"/>
      <c r="P32" s="6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f>SUM(C31:C32)</f>
        <v>13760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/>
      <c r="N33" s="61"/>
      <c r="O33" s="61">
        <v>0</v>
      </c>
      <c r="P33" s="61">
        <v>0</v>
      </c>
      <c r="Q33" s="61"/>
      <c r="R33" s="72">
        <f>SUM(R31:R32)</f>
        <v>13760</v>
      </c>
    </row>
    <row r="34" spans="1:18" ht="15" thickBot="1">
      <c r="A34" s="91" t="s">
        <v>37</v>
      </c>
      <c r="B34" s="93"/>
      <c r="C34" s="73">
        <f>13285+13285+13285+13385+13310+13310+13760+13760</f>
        <v>107380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/>
      <c r="N34" s="93"/>
      <c r="O34" s="93">
        <v>0</v>
      </c>
      <c r="P34" s="93">
        <v>0</v>
      </c>
      <c r="Q34" s="93"/>
      <c r="R34" s="73">
        <f>SUM(C34:P34)</f>
        <v>107380</v>
      </c>
    </row>
    <row r="35" ht="15" thickTop="1">
      <c r="C35" s="183"/>
    </row>
    <row r="41" spans="1:18" s="64" customFormat="1" ht="14.25">
      <c r="A41" s="65" t="s">
        <v>115</v>
      </c>
      <c r="B41" s="349" t="s">
        <v>92</v>
      </c>
      <c r="C41" s="350" t="s">
        <v>93</v>
      </c>
      <c r="D41" s="350"/>
      <c r="E41" s="350"/>
      <c r="F41" s="87" t="s">
        <v>94</v>
      </c>
      <c r="G41" s="350" t="s">
        <v>95</v>
      </c>
      <c r="H41" s="350"/>
      <c r="I41" s="350" t="s">
        <v>96</v>
      </c>
      <c r="J41" s="350"/>
      <c r="K41" s="350" t="s">
        <v>98</v>
      </c>
      <c r="L41" s="350"/>
      <c r="M41" s="351" t="s">
        <v>392</v>
      </c>
      <c r="N41" s="352"/>
      <c r="O41" s="350" t="s">
        <v>99</v>
      </c>
      <c r="P41" s="350"/>
      <c r="Q41" s="280" t="s">
        <v>113</v>
      </c>
      <c r="R41" s="353" t="s">
        <v>19</v>
      </c>
    </row>
    <row r="42" spans="1:18" s="64" customFormat="1" ht="14.25">
      <c r="A42" s="66" t="s">
        <v>116</v>
      </c>
      <c r="B42" s="349"/>
      <c r="C42" s="87" t="s">
        <v>100</v>
      </c>
      <c r="D42" s="87" t="s">
        <v>111</v>
      </c>
      <c r="E42" s="87" t="s">
        <v>101</v>
      </c>
      <c r="F42" s="87" t="s">
        <v>102</v>
      </c>
      <c r="G42" s="87" t="s">
        <v>103</v>
      </c>
      <c r="H42" s="87" t="s">
        <v>104</v>
      </c>
      <c r="I42" s="87" t="s">
        <v>105</v>
      </c>
      <c r="J42" s="87" t="s">
        <v>106</v>
      </c>
      <c r="K42" s="87" t="s">
        <v>107</v>
      </c>
      <c r="L42" s="87" t="s">
        <v>108</v>
      </c>
      <c r="M42" s="87" t="s">
        <v>467</v>
      </c>
      <c r="N42" s="87" t="s">
        <v>391</v>
      </c>
      <c r="O42" s="87" t="s">
        <v>109</v>
      </c>
      <c r="P42" s="87" t="s">
        <v>110</v>
      </c>
      <c r="Q42" s="192" t="s">
        <v>114</v>
      </c>
      <c r="R42" s="354"/>
    </row>
    <row r="43" spans="1:18" ht="14.25">
      <c r="A43" s="92" t="s">
        <v>268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274</v>
      </c>
      <c r="B44" s="70"/>
      <c r="C44" s="70">
        <f>28975+785</f>
        <v>29760</v>
      </c>
      <c r="D44" s="70"/>
      <c r="E44" s="70">
        <v>21150</v>
      </c>
      <c r="F44" s="70"/>
      <c r="G44" s="70">
        <v>9000</v>
      </c>
      <c r="H44" s="70">
        <v>0</v>
      </c>
      <c r="I44" s="70">
        <v>9000</v>
      </c>
      <c r="J44" s="70"/>
      <c r="K44" s="70">
        <v>19080</v>
      </c>
      <c r="L44" s="70"/>
      <c r="M44" s="70"/>
      <c r="N44" s="70"/>
      <c r="O44" s="70"/>
      <c r="P44" s="70"/>
      <c r="Q44" s="70"/>
      <c r="R44" s="70">
        <f>SUM(C44:P44)</f>
        <v>87990</v>
      </c>
    </row>
    <row r="45" spans="1:18" ht="14.25">
      <c r="A45" s="94" t="s">
        <v>275</v>
      </c>
      <c r="B45" s="67"/>
      <c r="C45" s="67">
        <v>4925</v>
      </c>
      <c r="D45" s="67"/>
      <c r="E45" s="67">
        <v>2135</v>
      </c>
      <c r="F45" s="67"/>
      <c r="G45" s="67">
        <v>1000</v>
      </c>
      <c r="H45" s="67"/>
      <c r="I45" s="67">
        <v>1000</v>
      </c>
      <c r="J45" s="67"/>
      <c r="K45" s="67">
        <v>3000</v>
      </c>
      <c r="L45" s="67"/>
      <c r="M45" s="67"/>
      <c r="N45" s="67" t="s">
        <v>253</v>
      </c>
      <c r="O45" s="67"/>
      <c r="P45" s="67"/>
      <c r="Q45" s="67"/>
      <c r="R45" s="67">
        <f>SUM(C45:P45)</f>
        <v>12060</v>
      </c>
    </row>
    <row r="46" spans="1:18" ht="14.25">
      <c r="A46" s="90" t="s">
        <v>36</v>
      </c>
      <c r="B46" s="61"/>
      <c r="C46" s="72">
        <f>SUM(C44:C45)</f>
        <v>34685</v>
      </c>
      <c r="D46" s="61">
        <v>0</v>
      </c>
      <c r="E46" s="61">
        <f>SUM(E44:E45)</f>
        <v>23285</v>
      </c>
      <c r="F46" s="61">
        <v>0</v>
      </c>
      <c r="G46" s="61">
        <f>SUM(G44:G45)</f>
        <v>10000</v>
      </c>
      <c r="H46" s="61">
        <f>SUM(H44)</f>
        <v>0</v>
      </c>
      <c r="I46" s="61">
        <f>SUM(I44:I45)</f>
        <v>10000</v>
      </c>
      <c r="J46" s="61">
        <v>0</v>
      </c>
      <c r="K46" s="61">
        <f>SUM(K44:K45)</f>
        <v>22080</v>
      </c>
      <c r="L46" s="61">
        <v>0</v>
      </c>
      <c r="M46" s="61"/>
      <c r="N46" s="61"/>
      <c r="O46" s="61">
        <v>0</v>
      </c>
      <c r="P46" s="61">
        <v>0</v>
      </c>
      <c r="Q46" s="61"/>
      <c r="R46" s="61">
        <f>SUM(C46:P46)</f>
        <v>100050</v>
      </c>
    </row>
    <row r="47" spans="1:18" ht="15" thickBot="1">
      <c r="A47" s="91" t="s">
        <v>37</v>
      </c>
      <c r="B47" s="93"/>
      <c r="C47" s="73">
        <f>34685+34685+34685+34685+34685+34685+34685+34685</f>
        <v>277480</v>
      </c>
      <c r="D47" s="61">
        <v>0</v>
      </c>
      <c r="E47" s="61">
        <f>23285+23285+23285+23285+23285+23285+23285+23285</f>
        <v>186280</v>
      </c>
      <c r="F47" s="61">
        <v>0</v>
      </c>
      <c r="G47" s="61">
        <f>27620+27620+27620+27620+27620+27620+21153+10000</f>
        <v>196873</v>
      </c>
      <c r="H47" s="61">
        <v>0</v>
      </c>
      <c r="I47" s="61">
        <f>10000+10000+10000+10000+10000+10000+10000+10000</f>
        <v>80000</v>
      </c>
      <c r="J47" s="61">
        <v>0</v>
      </c>
      <c r="K47" s="61">
        <f>22080+22080+22080+22080+22080+22080+22080+22080</f>
        <v>176640</v>
      </c>
      <c r="L47" s="61">
        <v>0</v>
      </c>
      <c r="M47" s="61"/>
      <c r="N47" s="61"/>
      <c r="O47" s="61">
        <v>0</v>
      </c>
      <c r="P47" s="61">
        <v>0</v>
      </c>
      <c r="Q47" s="61"/>
      <c r="R47" s="61">
        <f>SUM(C47:P47)</f>
        <v>917273</v>
      </c>
    </row>
    <row r="48" spans="1:18" ht="15" thickTop="1">
      <c r="A48" s="92" t="s">
        <v>276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74"/>
      <c r="R48" s="75"/>
    </row>
    <row r="49" spans="1:18" ht="14.25">
      <c r="A49" s="90" t="s">
        <v>277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>
        <v>0</v>
      </c>
      <c r="L49" s="76">
        <v>0</v>
      </c>
      <c r="M49" s="76"/>
      <c r="N49" s="76"/>
      <c r="O49" s="76"/>
      <c r="P49" s="70"/>
      <c r="Q49" s="76"/>
      <c r="R49" s="70">
        <f>SUM(C49:P49)</f>
        <v>0</v>
      </c>
    </row>
    <row r="50" spans="1:18" ht="14.25">
      <c r="A50" s="89" t="s">
        <v>278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7"/>
      <c r="Q50" s="77"/>
      <c r="R50" s="67">
        <f>SUM(C50:P50)</f>
        <v>0</v>
      </c>
    </row>
    <row r="51" spans="1:18" ht="14.25">
      <c r="A51" s="90" t="s">
        <v>279</v>
      </c>
      <c r="B51" s="76"/>
      <c r="C51" s="76">
        <f>4000+6000</f>
        <v>10000</v>
      </c>
      <c r="D51" s="76"/>
      <c r="E51" s="76">
        <v>3000</v>
      </c>
      <c r="F51" s="76"/>
      <c r="G51" s="76">
        <v>3000</v>
      </c>
      <c r="H51" s="76"/>
      <c r="I51" s="76"/>
      <c r="J51" s="76"/>
      <c r="K51" s="76">
        <v>7500</v>
      </c>
      <c r="L51" s="76"/>
      <c r="M51" s="76"/>
      <c r="N51" s="76"/>
      <c r="O51" s="76"/>
      <c r="P51" s="70"/>
      <c r="Q51" s="76"/>
      <c r="R51" s="70">
        <f>SUM(C51:Q51)</f>
        <v>23500</v>
      </c>
    </row>
    <row r="52" spans="1:18" ht="14.25">
      <c r="A52" s="90" t="s">
        <v>280</v>
      </c>
      <c r="B52" s="76"/>
      <c r="C52" s="76"/>
      <c r="D52" s="76"/>
      <c r="E52" s="76">
        <v>1000</v>
      </c>
      <c r="F52" s="76"/>
      <c r="G52" s="76"/>
      <c r="H52" s="76"/>
      <c r="I52" s="76"/>
      <c r="J52" s="76"/>
      <c r="K52" s="76"/>
      <c r="L52" s="76"/>
      <c r="M52" s="76"/>
      <c r="N52" s="76"/>
      <c r="O52" s="186"/>
      <c r="P52" s="70"/>
      <c r="Q52" s="76"/>
      <c r="R52" s="70">
        <f>SUM(C52:P52)</f>
        <v>1000</v>
      </c>
    </row>
    <row r="53" spans="1:18" ht="14.25">
      <c r="A53" s="124" t="s">
        <v>281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87"/>
      <c r="P53" s="71"/>
      <c r="Q53" s="78"/>
      <c r="R53" s="86"/>
    </row>
    <row r="54" spans="1:18" ht="14.25">
      <c r="A54" s="90" t="s">
        <v>36</v>
      </c>
      <c r="B54" s="61"/>
      <c r="C54" s="79">
        <f>SUM(C49:C53)</f>
        <v>10000</v>
      </c>
      <c r="D54" s="61">
        <v>0</v>
      </c>
      <c r="E54" s="61">
        <f>SUM(E49:E53)</f>
        <v>4000</v>
      </c>
      <c r="F54" s="61">
        <v>0</v>
      </c>
      <c r="G54" s="61">
        <f>SUM(G49:G53)</f>
        <v>3000</v>
      </c>
      <c r="H54" s="61">
        <v>0</v>
      </c>
      <c r="I54" s="61">
        <f>SUM(I49)</f>
        <v>0</v>
      </c>
      <c r="J54" s="61">
        <v>0</v>
      </c>
      <c r="K54" s="61">
        <f>SUM(K49:K53)</f>
        <v>7500</v>
      </c>
      <c r="L54" s="61">
        <f>SUM(L49:L52)</f>
        <v>0</v>
      </c>
      <c r="M54" s="61"/>
      <c r="N54" s="61"/>
      <c r="O54" s="61">
        <v>0</v>
      </c>
      <c r="P54" s="61">
        <v>0</v>
      </c>
      <c r="Q54" s="61"/>
      <c r="R54" s="72">
        <f>SUM(R49:R53)</f>
        <v>24500</v>
      </c>
    </row>
    <row r="55" spans="1:18" ht="15" thickBot="1">
      <c r="A55" s="91" t="s">
        <v>37</v>
      </c>
      <c r="B55" s="93"/>
      <c r="C55" s="80">
        <f>10000+12671+10000+18650+10000+16763+10000+10000</f>
        <v>98084</v>
      </c>
      <c r="D55" s="93">
        <v>0</v>
      </c>
      <c r="E55" s="93">
        <f>12660+10560+3000+3000+6780+3000+3000+4000</f>
        <v>46000</v>
      </c>
      <c r="F55" s="93">
        <v>0</v>
      </c>
      <c r="G55" s="93">
        <f>3000+3000+3000+3000+3000+3000+3000+3000</f>
        <v>24000</v>
      </c>
      <c r="H55" s="93">
        <v>0</v>
      </c>
      <c r="I55" s="93">
        <v>0</v>
      </c>
      <c r="J55" s="93">
        <v>0</v>
      </c>
      <c r="K55" s="93">
        <f>7500+10300+7500+7500+7500+12400+7500+7500</f>
        <v>67700</v>
      </c>
      <c r="L55" s="93">
        <v>0</v>
      </c>
      <c r="M55" s="93"/>
      <c r="N55" s="93"/>
      <c r="O55" s="93">
        <v>0</v>
      </c>
      <c r="P55" s="61">
        <v>0</v>
      </c>
      <c r="Q55" s="93"/>
      <c r="R55" s="73">
        <f>SUM(C55:P55)</f>
        <v>235784</v>
      </c>
    </row>
    <row r="56" spans="1:18" ht="15" thickTop="1">
      <c r="A56" s="94" t="s">
        <v>282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84"/>
      <c r="Q56" s="83"/>
      <c r="R56" s="84"/>
    </row>
    <row r="57" spans="1:18" ht="14.25">
      <c r="A57" s="94" t="s">
        <v>283</v>
      </c>
      <c r="B57" s="215" t="s">
        <v>395</v>
      </c>
      <c r="C57" s="82">
        <f>8300+7000+2665+4500</f>
        <v>22465</v>
      </c>
      <c r="D57" s="82"/>
      <c r="E57" s="82">
        <v>0</v>
      </c>
      <c r="F57" s="82"/>
      <c r="G57" s="82">
        <f>5100+4500</f>
        <v>9600</v>
      </c>
      <c r="H57" s="82"/>
      <c r="I57" s="82"/>
      <c r="J57" s="82"/>
      <c r="K57" s="82">
        <v>15400</v>
      </c>
      <c r="L57" s="82"/>
      <c r="M57" s="82"/>
      <c r="N57" s="82"/>
      <c r="O57" s="82"/>
      <c r="P57" s="83">
        <v>0</v>
      </c>
      <c r="Q57" s="82"/>
      <c r="R57" s="83">
        <f>SUM(C57:P57)</f>
        <v>47465</v>
      </c>
    </row>
    <row r="58" spans="1:18" ht="14.25">
      <c r="A58" s="90" t="s">
        <v>284</v>
      </c>
      <c r="B58" s="76"/>
      <c r="C58" s="76">
        <v>750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0"/>
      <c r="Q58" s="76"/>
      <c r="R58" s="70">
        <f>SUM(C58:Q58)</f>
        <v>750</v>
      </c>
    </row>
    <row r="59" spans="1:18" ht="14.25">
      <c r="A59" s="94" t="s">
        <v>285</v>
      </c>
      <c r="B59" s="76"/>
      <c r="C59" s="76">
        <v>2536</v>
      </c>
      <c r="D59" s="76"/>
      <c r="E59" s="76"/>
      <c r="F59" s="76">
        <v>0</v>
      </c>
      <c r="G59" s="76">
        <v>0</v>
      </c>
      <c r="H59" s="76">
        <v>800</v>
      </c>
      <c r="I59" s="76"/>
      <c r="J59" s="76">
        <v>0</v>
      </c>
      <c r="K59" s="76"/>
      <c r="L59" s="76"/>
      <c r="M59" s="76"/>
      <c r="N59" s="76"/>
      <c r="O59" s="76">
        <v>0</v>
      </c>
      <c r="P59" s="70">
        <v>0</v>
      </c>
      <c r="Q59" s="76"/>
      <c r="R59" s="70">
        <f>SUM(C59:Q59)</f>
        <v>3336</v>
      </c>
    </row>
    <row r="60" spans="1:18" ht="14.25">
      <c r="A60" s="94" t="s">
        <v>286</v>
      </c>
      <c r="B60" s="76"/>
      <c r="C60" s="76">
        <v>0</v>
      </c>
      <c r="D60" s="76"/>
      <c r="E60" s="76">
        <v>0</v>
      </c>
      <c r="F60" s="76"/>
      <c r="G60" s="76">
        <v>0</v>
      </c>
      <c r="H60" s="76">
        <v>0</v>
      </c>
      <c r="I60" s="76"/>
      <c r="J60" s="76"/>
      <c r="K60" s="76">
        <v>0</v>
      </c>
      <c r="L60" s="76"/>
      <c r="M60" s="76"/>
      <c r="N60" s="76"/>
      <c r="O60" s="76"/>
      <c r="P60" s="70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25751</v>
      </c>
      <c r="D61" s="61">
        <f>SUM(D59:D60)</f>
        <v>0</v>
      </c>
      <c r="E61" s="61">
        <f>SUM(E57:E59)</f>
        <v>0</v>
      </c>
      <c r="F61" s="61">
        <f>SUM(F59)</f>
        <v>0</v>
      </c>
      <c r="G61" s="61">
        <f>SUM(G57)</f>
        <v>9600</v>
      </c>
      <c r="H61" s="61">
        <f>SUM(H59:H60)</f>
        <v>800</v>
      </c>
      <c r="I61" s="61">
        <v>0</v>
      </c>
      <c r="J61" s="61">
        <f>SUM(J59)</f>
        <v>0</v>
      </c>
      <c r="K61" s="61">
        <f>SUM(K57:K60)</f>
        <v>15400</v>
      </c>
      <c r="L61" s="61">
        <v>0</v>
      </c>
      <c r="M61" s="61">
        <v>0</v>
      </c>
      <c r="N61" s="61">
        <v>0</v>
      </c>
      <c r="O61" s="61">
        <f>SUM(O59)</f>
        <v>0</v>
      </c>
      <c r="P61" s="61">
        <f>SUM(P57:P60)</f>
        <v>0</v>
      </c>
      <c r="Q61" s="61"/>
      <c r="R61" s="72">
        <f>SUM(R57:R60)</f>
        <v>51551</v>
      </c>
    </row>
    <row r="62" spans="1:18" ht="15" thickBot="1">
      <c r="A62" s="91" t="s">
        <v>37</v>
      </c>
      <c r="B62" s="93"/>
      <c r="C62" s="80">
        <f>12952+30429.7+42008+132942.35+444985.2+61357.95+29534.35+25751</f>
        <v>779960.5499999999</v>
      </c>
      <c r="D62" s="93">
        <v>0</v>
      </c>
      <c r="E62" s="93">
        <f>20680+27016+8600</f>
        <v>56296</v>
      </c>
      <c r="F62" s="93">
        <f>5250+4350</f>
        <v>9600</v>
      </c>
      <c r="G62" s="93">
        <f>21924+9572+9244+9600</f>
        <v>50340</v>
      </c>
      <c r="H62" s="93">
        <f>28370.04+48507.72+27007.72+35320.84+35426.24+800</f>
        <v>175432.56</v>
      </c>
      <c r="I62" s="93">
        <v>0</v>
      </c>
      <c r="J62" s="93">
        <f>3000+288000</f>
        <v>291000</v>
      </c>
      <c r="K62" s="93">
        <f>19376+12748-2000+1800+15400</f>
        <v>47324</v>
      </c>
      <c r="L62" s="93">
        <v>0</v>
      </c>
      <c r="M62" s="93">
        <v>0</v>
      </c>
      <c r="N62" s="93">
        <v>0</v>
      </c>
      <c r="O62" s="93">
        <f>60169+57420</f>
        <v>117589</v>
      </c>
      <c r="P62" s="93">
        <f>5952+167215</f>
        <v>173167</v>
      </c>
      <c r="Q62" s="93"/>
      <c r="R62" s="73">
        <f>SUM(C62:Q62)</f>
        <v>1700709.1099999999</v>
      </c>
    </row>
    <row r="63" spans="1:18" ht="15" thickTop="1">
      <c r="A63" s="94" t="s">
        <v>287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4"/>
      <c r="Q63" s="83"/>
      <c r="R63" s="84"/>
    </row>
    <row r="64" spans="1:18" ht="14.25">
      <c r="A64" s="94" t="s">
        <v>288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2"/>
      <c r="P64" s="83"/>
      <c r="Q64" s="82"/>
      <c r="R64" s="83">
        <f>SUM(C64:P64)</f>
        <v>0</v>
      </c>
    </row>
    <row r="65" spans="1:18" ht="14.25">
      <c r="A65" s="90" t="s">
        <v>289</v>
      </c>
      <c r="B65" s="76"/>
      <c r="C65" s="76">
        <v>0</v>
      </c>
      <c r="D65" s="76"/>
      <c r="E65" s="76"/>
      <c r="F65" s="76"/>
      <c r="G65" s="76">
        <v>0</v>
      </c>
      <c r="H65" s="76"/>
      <c r="I65" s="76"/>
      <c r="J65" s="76"/>
      <c r="K65" s="76"/>
      <c r="L65" s="76"/>
      <c r="M65" s="76"/>
      <c r="N65" s="76"/>
      <c r="O65" s="76"/>
      <c r="P65" s="70"/>
      <c r="Q65" s="76"/>
      <c r="R65" s="70"/>
    </row>
    <row r="66" spans="1:18" ht="14.25">
      <c r="A66" s="94" t="s">
        <v>290</v>
      </c>
      <c r="B66" s="76"/>
      <c r="C66" s="76"/>
      <c r="D66" s="76"/>
      <c r="E66" s="76">
        <v>225</v>
      </c>
      <c r="F66" s="76"/>
      <c r="G66" s="76">
        <v>0</v>
      </c>
      <c r="H66" s="76">
        <v>0</v>
      </c>
      <c r="I66" s="76"/>
      <c r="J66" s="76" t="s">
        <v>253</v>
      </c>
      <c r="K66" s="76"/>
      <c r="L66" s="76"/>
      <c r="M66" s="76"/>
      <c r="N66" s="76"/>
      <c r="O66" s="76"/>
      <c r="P66" s="70"/>
      <c r="Q66" s="76"/>
      <c r="R66" s="70">
        <f>SUM(C66:P66)</f>
        <v>225</v>
      </c>
    </row>
    <row r="67" spans="1:18" ht="14.25">
      <c r="A67" s="94" t="s">
        <v>291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6"/>
      <c r="P67" s="70"/>
      <c r="Q67" s="76"/>
      <c r="R67" s="70">
        <f>SUM(H67:Q67)</f>
        <v>0</v>
      </c>
    </row>
    <row r="68" spans="1:18" ht="14.25">
      <c r="A68" s="94" t="s">
        <v>292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/>
    </row>
    <row r="69" spans="1:18" ht="14.25">
      <c r="A69" s="94" t="s">
        <v>293</v>
      </c>
      <c r="B69" s="76"/>
      <c r="C69" s="76"/>
      <c r="D69" s="76"/>
      <c r="E69" s="76"/>
      <c r="F69" s="76"/>
      <c r="G69" s="76"/>
      <c r="H69" s="76"/>
      <c r="I69" s="76"/>
      <c r="J69" s="76"/>
      <c r="K69" s="76">
        <v>0</v>
      </c>
      <c r="L69" s="76"/>
      <c r="M69" s="76"/>
      <c r="N69" s="76"/>
      <c r="O69" s="76"/>
      <c r="P69" s="70"/>
      <c r="Q69" s="76"/>
      <c r="R69" s="70">
        <f>SUM(K69:Q69)</f>
        <v>0</v>
      </c>
    </row>
    <row r="70" spans="1:18" ht="14.25">
      <c r="A70" s="94" t="s">
        <v>294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0"/>
      <c r="Q70" s="76"/>
      <c r="R70" s="70">
        <f>SUM(C70:Q70)</f>
        <v>0</v>
      </c>
    </row>
    <row r="71" spans="1:18" ht="14.25">
      <c r="A71" s="94" t="s">
        <v>295</v>
      </c>
      <c r="B71" s="76"/>
      <c r="C71" s="76">
        <v>9090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>SUM(C71:Q71)</f>
        <v>9090</v>
      </c>
    </row>
    <row r="72" spans="1:18" ht="14.25">
      <c r="A72" s="94" t="s">
        <v>296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0"/>
      <c r="Q72" s="76"/>
      <c r="R72" s="70">
        <f>SUM(C72)</f>
        <v>0</v>
      </c>
    </row>
    <row r="73" spans="1:18" ht="14.25">
      <c r="A73" s="94" t="s">
        <v>297</v>
      </c>
      <c r="B73" s="76"/>
      <c r="C73" s="76"/>
      <c r="D73" s="76"/>
      <c r="E73" s="76">
        <v>0</v>
      </c>
      <c r="F73" s="76"/>
      <c r="G73" s="76">
        <v>0</v>
      </c>
      <c r="H73" s="76"/>
      <c r="I73" s="76"/>
      <c r="J73" s="76"/>
      <c r="K73" s="76">
        <v>0</v>
      </c>
      <c r="L73" s="76"/>
      <c r="M73" s="76"/>
      <c r="N73" s="76"/>
      <c r="O73" s="76"/>
      <c r="P73" s="70"/>
      <c r="Q73" s="76"/>
      <c r="R73" s="70">
        <f>SUM(C73:Q73)</f>
        <v>0</v>
      </c>
    </row>
    <row r="74" spans="1:18" ht="14.25">
      <c r="A74" s="94" t="s">
        <v>298</v>
      </c>
      <c r="B74" s="76"/>
      <c r="C74" s="76"/>
      <c r="D74" s="76"/>
      <c r="E74" s="76"/>
      <c r="F74" s="76"/>
      <c r="G74" s="76">
        <v>0</v>
      </c>
      <c r="H74" s="76">
        <v>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SUM(G74)</f>
        <v>0</v>
      </c>
    </row>
    <row r="75" spans="1:18" ht="14.25">
      <c r="A75" s="94" t="s">
        <v>299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/>
    </row>
    <row r="76" spans="1:18" ht="14.25">
      <c r="A76" s="90" t="s">
        <v>36</v>
      </c>
      <c r="B76" s="61"/>
      <c r="C76" s="79">
        <f>SUM(C64:C75)</f>
        <v>9090</v>
      </c>
      <c r="D76" s="61">
        <f>SUM(D66:D75)</f>
        <v>0</v>
      </c>
      <c r="E76" s="61">
        <f>SUM(E64:E75)</f>
        <v>225</v>
      </c>
      <c r="F76" s="61">
        <v>0</v>
      </c>
      <c r="G76" s="61">
        <f>SUM(G64:G75)</f>
        <v>0</v>
      </c>
      <c r="H76" s="61">
        <f>SUM(H64:H75)</f>
        <v>0</v>
      </c>
      <c r="I76" s="61">
        <v>0</v>
      </c>
      <c r="J76" s="61">
        <v>0</v>
      </c>
      <c r="K76" s="61">
        <f>SUM(K65:K75)</f>
        <v>0</v>
      </c>
      <c r="L76" s="61">
        <v>0</v>
      </c>
      <c r="M76" s="61"/>
      <c r="N76" s="61"/>
      <c r="O76" s="61">
        <v>0</v>
      </c>
      <c r="P76" s="61">
        <v>0</v>
      </c>
      <c r="Q76" s="61"/>
      <c r="R76" s="72">
        <f>SUM(R64:R75)</f>
        <v>9315</v>
      </c>
    </row>
    <row r="77" spans="1:18" ht="15" thickBot="1">
      <c r="A77" s="91" t="s">
        <v>37</v>
      </c>
      <c r="B77" s="93"/>
      <c r="C77" s="80">
        <f>17546+9305+8860+55950+7895+4965+6830+9090</f>
        <v>120441</v>
      </c>
      <c r="D77" s="93">
        <v>0</v>
      </c>
      <c r="E77" s="93">
        <f>300+36128+400+21690+35951+11870+225</f>
        <v>106564</v>
      </c>
      <c r="F77" s="93">
        <v>0</v>
      </c>
      <c r="G77" s="93">
        <f>36978</f>
        <v>36978</v>
      </c>
      <c r="H77" s="93">
        <f>77242.62+147128.8+195963.04+84599.06</f>
        <v>504933.51999999996</v>
      </c>
      <c r="I77" s="93">
        <v>0</v>
      </c>
      <c r="J77" s="93">
        <v>0</v>
      </c>
      <c r="K77" s="93">
        <f>7850+8000</f>
        <v>15850</v>
      </c>
      <c r="L77" s="93">
        <v>0</v>
      </c>
      <c r="M77" s="93"/>
      <c r="N77" s="93"/>
      <c r="O77" s="93">
        <v>0</v>
      </c>
      <c r="P77" s="93">
        <v>0</v>
      </c>
      <c r="Q77" s="93"/>
      <c r="R77" s="73">
        <f>SUM(C77:Q77)</f>
        <v>784766.52</v>
      </c>
    </row>
    <row r="78" ht="15" thickTop="1"/>
    <row r="81" spans="1:18" s="64" customFormat="1" ht="13.5" customHeight="1">
      <c r="A81" s="65" t="s">
        <v>115</v>
      </c>
      <c r="B81" s="349" t="s">
        <v>92</v>
      </c>
      <c r="C81" s="350" t="s">
        <v>93</v>
      </c>
      <c r="D81" s="350"/>
      <c r="E81" s="350"/>
      <c r="F81" s="87" t="s">
        <v>94</v>
      </c>
      <c r="G81" s="350" t="s">
        <v>95</v>
      </c>
      <c r="H81" s="350"/>
      <c r="I81" s="350" t="s">
        <v>96</v>
      </c>
      <c r="J81" s="350"/>
      <c r="K81" s="350" t="s">
        <v>98</v>
      </c>
      <c r="L81" s="350"/>
      <c r="M81" s="351" t="s">
        <v>392</v>
      </c>
      <c r="N81" s="352"/>
      <c r="O81" s="350" t="s">
        <v>99</v>
      </c>
      <c r="P81" s="350"/>
      <c r="Q81" s="280" t="s">
        <v>113</v>
      </c>
      <c r="R81" s="353" t="s">
        <v>19</v>
      </c>
    </row>
    <row r="82" spans="1:18" s="64" customFormat="1" ht="13.5" customHeight="1">
      <c r="A82" s="66" t="s">
        <v>116</v>
      </c>
      <c r="B82" s="349"/>
      <c r="C82" s="87" t="s">
        <v>100</v>
      </c>
      <c r="D82" s="87" t="s">
        <v>111</v>
      </c>
      <c r="E82" s="87" t="s">
        <v>101</v>
      </c>
      <c r="F82" s="87" t="s">
        <v>102</v>
      </c>
      <c r="G82" s="87" t="s">
        <v>103</v>
      </c>
      <c r="H82" s="87" t="s">
        <v>104</v>
      </c>
      <c r="I82" s="87" t="s">
        <v>105</v>
      </c>
      <c r="J82" s="87" t="s">
        <v>106</v>
      </c>
      <c r="K82" s="87" t="s">
        <v>107</v>
      </c>
      <c r="L82" s="87" t="s">
        <v>108</v>
      </c>
      <c r="M82" s="87" t="s">
        <v>467</v>
      </c>
      <c r="N82" s="87" t="s">
        <v>391</v>
      </c>
      <c r="O82" s="87" t="s">
        <v>109</v>
      </c>
      <c r="P82" s="87" t="s">
        <v>110</v>
      </c>
      <c r="Q82" s="192" t="s">
        <v>114</v>
      </c>
      <c r="R82" s="354"/>
    </row>
    <row r="83" spans="1:18" ht="13.5" customHeight="1">
      <c r="A83" s="92" t="s">
        <v>300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301</v>
      </c>
      <c r="B84" s="67"/>
      <c r="C84" s="67">
        <f>13017.57+14071.17</f>
        <v>27088.739999999998</v>
      </c>
      <c r="D84" s="67"/>
      <c r="E84" s="67"/>
      <c r="F84" s="67"/>
      <c r="G84" s="67">
        <f>1322.27+742.03</f>
        <v>2064.3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29153.039999999997</v>
      </c>
    </row>
    <row r="85" spans="1:18" ht="13.5" customHeight="1">
      <c r="A85" s="90" t="s">
        <v>302</v>
      </c>
      <c r="B85" s="70"/>
      <c r="C85" s="70">
        <v>756</v>
      </c>
      <c r="D85" s="70"/>
      <c r="E85" s="70"/>
      <c r="F85" s="70"/>
      <c r="G85" s="70">
        <v>24</v>
      </c>
      <c r="H85" s="70" t="s">
        <v>253</v>
      </c>
      <c r="I85" s="70" t="s">
        <v>253</v>
      </c>
      <c r="J85" s="70"/>
      <c r="K85" s="70"/>
      <c r="L85" s="70"/>
      <c r="M85" s="70"/>
      <c r="N85" s="70"/>
      <c r="O85" s="70"/>
      <c r="P85" s="70"/>
      <c r="Q85" s="70"/>
      <c r="R85" s="70">
        <f>SUM(C85:P85)</f>
        <v>780</v>
      </c>
    </row>
    <row r="86" spans="1:18" ht="13.5" customHeight="1">
      <c r="A86" s="90" t="s">
        <v>303</v>
      </c>
      <c r="B86" s="70"/>
      <c r="C86" s="70">
        <f>1076.42+1020.78</f>
        <v>2097.2</v>
      </c>
      <c r="D86" s="70"/>
      <c r="E86" s="70"/>
      <c r="F86" s="70"/>
      <c r="G86" s="70">
        <f>428+428</f>
        <v>856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2953.2</v>
      </c>
    </row>
    <row r="87" spans="1:18" ht="13.5" customHeight="1">
      <c r="A87" s="89" t="s">
        <v>304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SUM(C87)</f>
        <v>0</v>
      </c>
    </row>
    <row r="88" spans="1:18" ht="13.5" customHeight="1">
      <c r="A88" s="90" t="s">
        <v>305</v>
      </c>
      <c r="B88" s="71"/>
      <c r="C88" s="71">
        <f>5243+5243</f>
        <v>10486</v>
      </c>
      <c r="D88" s="71"/>
      <c r="E88" s="71"/>
      <c r="F88" s="71"/>
      <c r="G88" s="71">
        <f>1701.3+1701.3</f>
        <v>3402.6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13888.6</v>
      </c>
    </row>
    <row r="89" spans="1:18" ht="13.5" customHeight="1">
      <c r="A89" s="90" t="s">
        <v>36</v>
      </c>
      <c r="B89" s="61"/>
      <c r="C89" s="61">
        <f>SUM(C84:C88)</f>
        <v>40427.94</v>
      </c>
      <c r="D89" s="61">
        <v>0</v>
      </c>
      <c r="E89" s="61">
        <v>0</v>
      </c>
      <c r="F89" s="61">
        <v>0</v>
      </c>
      <c r="G89" s="61">
        <f>SUM(G84:G88)</f>
        <v>6346.9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/>
      <c r="N89" s="61"/>
      <c r="O89" s="61">
        <v>0</v>
      </c>
      <c r="P89" s="61">
        <v>0</v>
      </c>
      <c r="Q89" s="61"/>
      <c r="R89" s="72">
        <f>SUM(R84:R88)</f>
        <v>46774.84</v>
      </c>
    </row>
    <row r="90" spans="1:18" ht="13.5" customHeight="1" thickBot="1">
      <c r="A90" s="91" t="s">
        <v>37</v>
      </c>
      <c r="B90" s="61"/>
      <c r="C90" s="61">
        <f>18363.88+17863.61+34265.15+12993.8+14779.18+20903.57+6658.56+40427.94</f>
        <v>166255.69000000003</v>
      </c>
      <c r="D90" s="61">
        <v>0</v>
      </c>
      <c r="E90" s="61">
        <v>0</v>
      </c>
      <c r="F90" s="61">
        <v>0</v>
      </c>
      <c r="G90" s="61">
        <f>3961.3+3535.08+1321.31+4360.6+3138.52+2651.91+2495.3+6346.9</f>
        <v>27810.92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/>
      <c r="O90" s="61">
        <v>0</v>
      </c>
      <c r="P90" s="61">
        <v>0</v>
      </c>
      <c r="Q90" s="190"/>
      <c r="R90" s="73">
        <f>SUM(C90:P90)</f>
        <v>194066.61000000004</v>
      </c>
    </row>
    <row r="91" spans="1:18" ht="13.5" customHeight="1" thickTop="1">
      <c r="A91" s="92" t="s">
        <v>306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307</v>
      </c>
      <c r="B92" s="76"/>
      <c r="C92" s="76">
        <v>0</v>
      </c>
      <c r="D92" s="76"/>
      <c r="E92" s="76"/>
      <c r="F92" s="76"/>
      <c r="G92" s="76"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>SUM(C92)</f>
        <v>0</v>
      </c>
    </row>
    <row r="93" spans="1:18" ht="13.5" customHeight="1">
      <c r="A93" s="90" t="s">
        <v>308</v>
      </c>
      <c r="B93" s="76"/>
      <c r="C93" s="76"/>
      <c r="D93" s="76"/>
      <c r="E93" s="76"/>
      <c r="F93" s="76"/>
      <c r="G93" s="76"/>
      <c r="H93" s="76"/>
      <c r="I93" s="76"/>
      <c r="J93" s="76"/>
      <c r="K93" s="76">
        <v>0</v>
      </c>
      <c r="L93" s="76"/>
      <c r="M93" s="76"/>
      <c r="N93" s="76"/>
      <c r="O93" s="76"/>
      <c r="P93" s="70"/>
      <c r="Q93" s="76"/>
      <c r="R93" s="70">
        <f>SUM(K93:Q93)</f>
        <v>0</v>
      </c>
    </row>
    <row r="94" spans="1:18" ht="13.5" customHeight="1">
      <c r="A94" s="90" t="s">
        <v>309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/>
    </row>
    <row r="95" spans="1:18" ht="13.5" customHeight="1">
      <c r="A95" s="90" t="s">
        <v>310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0"/>
      <c r="O95" s="76"/>
      <c r="P95" s="70"/>
      <c r="Q95" s="76"/>
      <c r="R95" s="70"/>
    </row>
    <row r="96" spans="1:18" ht="13.5" customHeight="1">
      <c r="A96" s="90" t="s">
        <v>311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/>
    </row>
    <row r="97" spans="1:18" ht="13.5" customHeight="1">
      <c r="A97" s="94" t="s">
        <v>312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  <c r="Q97" s="82"/>
      <c r="R97" s="83"/>
    </row>
    <row r="98" spans="1:18" ht="13.5" customHeight="1">
      <c r="A98" s="90" t="s">
        <v>313</v>
      </c>
      <c r="B98" s="76"/>
      <c r="C98" s="76"/>
      <c r="D98" s="76"/>
      <c r="E98" s="76"/>
      <c r="F98" s="76"/>
      <c r="G98" s="76"/>
      <c r="H98" s="76"/>
      <c r="I98" s="76"/>
      <c r="J98" s="76"/>
      <c r="K98" s="76">
        <v>0</v>
      </c>
      <c r="L98" s="76"/>
      <c r="M98" s="76"/>
      <c r="N98" s="76"/>
      <c r="O98" s="76"/>
      <c r="P98" s="70"/>
      <c r="Q98" s="76"/>
      <c r="R98" s="70">
        <f>SUM(K98)</f>
        <v>0</v>
      </c>
    </row>
    <row r="99" spans="1:18" ht="13.5" customHeight="1">
      <c r="A99" s="94" t="s">
        <v>314</v>
      </c>
      <c r="B99" s="77"/>
      <c r="C99" s="77">
        <v>0</v>
      </c>
      <c r="D99" s="77"/>
      <c r="E99" s="77">
        <v>0</v>
      </c>
      <c r="F99" s="77"/>
      <c r="G99" s="77">
        <v>0</v>
      </c>
      <c r="H99" s="151"/>
      <c r="I99" s="77"/>
      <c r="J99" s="77"/>
      <c r="K99" s="77">
        <v>0</v>
      </c>
      <c r="L99" s="77"/>
      <c r="M99" s="77"/>
      <c r="N99" s="77"/>
      <c r="O99" s="77"/>
      <c r="P99" s="67"/>
      <c r="Q99" s="77"/>
      <c r="R99" s="213">
        <f>SUM(C99:Q99)</f>
        <v>0</v>
      </c>
    </row>
    <row r="100" spans="1:18" ht="13.5" customHeight="1">
      <c r="A100" s="90" t="s">
        <v>36</v>
      </c>
      <c r="B100" s="61"/>
      <c r="C100" s="61">
        <f>SUM(C92:C99)</f>
        <v>0</v>
      </c>
      <c r="D100" s="61">
        <v>0</v>
      </c>
      <c r="E100" s="61">
        <f>SUM(E99)</f>
        <v>0</v>
      </c>
      <c r="F100" s="61">
        <v>0</v>
      </c>
      <c r="G100" s="72">
        <f>SUM(G99)</f>
        <v>0</v>
      </c>
      <c r="H100" s="61">
        <v>0</v>
      </c>
      <c r="I100" s="61">
        <f>SUM(I99)</f>
        <v>0</v>
      </c>
      <c r="J100" s="61">
        <v>0</v>
      </c>
      <c r="K100" s="61">
        <f>SUM(K98:K99)</f>
        <v>0</v>
      </c>
      <c r="L100" s="61">
        <v>0</v>
      </c>
      <c r="M100" s="61"/>
      <c r="N100" s="61"/>
      <c r="O100" s="61">
        <v>0</v>
      </c>
      <c r="P100" s="61">
        <v>0</v>
      </c>
      <c r="Q100" s="61"/>
      <c r="R100" s="72">
        <f>SUM(R92:R99)</f>
        <v>0</v>
      </c>
    </row>
    <row r="101" spans="1:18" ht="13.5" customHeight="1" thickBot="1">
      <c r="A101" s="91" t="s">
        <v>37</v>
      </c>
      <c r="B101" s="93"/>
      <c r="C101" s="93">
        <f>13417.27+1700+19750+12150+3860+99423.15</f>
        <v>150300.41999999998</v>
      </c>
      <c r="D101" s="93">
        <v>0</v>
      </c>
      <c r="E101" s="93">
        <f>550+1200+900</f>
        <v>2650</v>
      </c>
      <c r="F101" s="93">
        <v>0</v>
      </c>
      <c r="G101" s="93">
        <f>30000+1900+2400+4300</f>
        <v>38600</v>
      </c>
      <c r="H101" s="93">
        <v>0</v>
      </c>
      <c r="I101" s="93">
        <v>0</v>
      </c>
      <c r="J101" s="93">
        <v>0</v>
      </c>
      <c r="K101" s="93">
        <f>1500+2300+1920+1200</f>
        <v>6920</v>
      </c>
      <c r="L101" s="93">
        <v>0</v>
      </c>
      <c r="M101" s="93"/>
      <c r="N101" s="93"/>
      <c r="O101" s="93">
        <v>0</v>
      </c>
      <c r="P101" s="93">
        <v>0</v>
      </c>
      <c r="Q101" s="93"/>
      <c r="R101" s="73">
        <f>SUM(C101:Q101)</f>
        <v>198470.41999999998</v>
      </c>
    </row>
    <row r="102" spans="1:18" ht="13.5" customHeight="1" thickTop="1">
      <c r="A102" s="94" t="s">
        <v>315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3"/>
      <c r="P102" s="83"/>
      <c r="Q102" s="83"/>
      <c r="R102" s="84"/>
    </row>
    <row r="103" spans="1:18" ht="13.5" customHeight="1">
      <c r="A103" s="94" t="s">
        <v>316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  <c r="Q103" s="82"/>
      <c r="R103" s="83"/>
    </row>
    <row r="104" spans="1:18" ht="13.5" customHeight="1">
      <c r="A104" s="94" t="s">
        <v>317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/>
      <c r="Q104" s="82"/>
      <c r="R104" s="83"/>
    </row>
    <row r="105" spans="1:18" ht="13.5" customHeight="1">
      <c r="A105" s="90" t="s">
        <v>318</v>
      </c>
      <c r="B105" s="76"/>
      <c r="C105" s="76" t="s">
        <v>553</v>
      </c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0"/>
      <c r="Q105" s="76">
        <f>223400+193000+475200</f>
        <v>891600</v>
      </c>
      <c r="R105" s="70">
        <f>SUM(Q105)</f>
        <v>891600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/>
      <c r="N106" s="61"/>
      <c r="O106" s="61">
        <v>0</v>
      </c>
      <c r="P106" s="61">
        <v>0</v>
      </c>
      <c r="Q106" s="61">
        <f>SUM(Q105)</f>
        <v>891600</v>
      </c>
      <c r="R106" s="61">
        <f>SUM(D106:Q106)</f>
        <v>891600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/>
      <c r="O107" s="93">
        <v>0</v>
      </c>
      <c r="P107" s="93">
        <v>0</v>
      </c>
      <c r="Q107" s="93">
        <f>143000+891600</f>
        <v>1034600</v>
      </c>
      <c r="R107" s="73">
        <f>SUM(Q107)</f>
        <v>1034600</v>
      </c>
    </row>
    <row r="108" spans="1:18" ht="13.5" customHeight="1" thickTop="1">
      <c r="A108" s="94" t="s">
        <v>319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4"/>
      <c r="Q108" s="82"/>
      <c r="R108" s="70"/>
    </row>
    <row r="109" spans="1:18" ht="13.5" customHeight="1">
      <c r="A109" s="94" t="s">
        <v>320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321</v>
      </c>
      <c r="B110" s="71"/>
      <c r="C110" s="76">
        <v>0</v>
      </c>
      <c r="D110" s="76"/>
      <c r="E110" s="76"/>
      <c r="F110" s="76"/>
      <c r="G110" s="76">
        <v>304260</v>
      </c>
      <c r="H110" s="76">
        <v>0</v>
      </c>
      <c r="I110" s="76"/>
      <c r="J110" s="76"/>
      <c r="K110" s="76"/>
      <c r="L110" s="76">
        <v>0</v>
      </c>
      <c r="M110" s="76"/>
      <c r="N110" s="76"/>
      <c r="O110" s="76"/>
      <c r="P110" s="76">
        <v>0</v>
      </c>
      <c r="Q110" s="70"/>
      <c r="R110" s="70">
        <f>SUM(C110:P110)</f>
        <v>304260</v>
      </c>
    </row>
    <row r="111" spans="1:18" ht="13.5" customHeight="1">
      <c r="A111" s="90" t="s">
        <v>390</v>
      </c>
      <c r="B111" s="289"/>
      <c r="C111" s="288"/>
      <c r="D111" s="76"/>
      <c r="E111" s="76"/>
      <c r="F111" s="76"/>
      <c r="G111" s="76"/>
      <c r="H111" s="76"/>
      <c r="I111" s="76">
        <v>0</v>
      </c>
      <c r="J111" s="76"/>
      <c r="K111" s="76"/>
      <c r="L111" s="76"/>
      <c r="M111" s="76"/>
      <c r="N111" s="76"/>
      <c r="O111" s="76"/>
      <c r="P111" s="76"/>
      <c r="Q111" s="70"/>
      <c r="R111" s="70"/>
    </row>
    <row r="112" spans="1:18" ht="13.5" customHeight="1">
      <c r="A112" s="90" t="s">
        <v>322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>
      <c r="A113" s="90" t="s">
        <v>36</v>
      </c>
      <c r="B113" s="61"/>
      <c r="C113" s="61">
        <f>SUM(C109:C112)</f>
        <v>0</v>
      </c>
      <c r="D113" s="61">
        <v>0</v>
      </c>
      <c r="E113" s="61">
        <v>0</v>
      </c>
      <c r="F113" s="61">
        <v>0</v>
      </c>
      <c r="G113" s="61">
        <f>SUM(G110)</f>
        <v>304260</v>
      </c>
      <c r="H113" s="61">
        <f>SUM(H110)</f>
        <v>0</v>
      </c>
      <c r="I113" s="61">
        <f>SUM(I111)</f>
        <v>0</v>
      </c>
      <c r="J113" s="61">
        <v>0</v>
      </c>
      <c r="K113" s="61">
        <v>0</v>
      </c>
      <c r="L113" s="61">
        <f>SUM(L108:L112)</f>
        <v>0</v>
      </c>
      <c r="M113" s="61"/>
      <c r="N113" s="61"/>
      <c r="O113" s="61">
        <f>SUM(O110:O112)</f>
        <v>0</v>
      </c>
      <c r="P113" s="61">
        <f>SUM(P110:P112)</f>
        <v>0</v>
      </c>
      <c r="Q113" s="61"/>
      <c r="R113" s="61">
        <f>SUM(C113:P113)</f>
        <v>304260</v>
      </c>
    </row>
    <row r="114" spans="1:18" ht="13.5" customHeight="1" thickBot="1">
      <c r="A114" s="91" t="s">
        <v>37</v>
      </c>
      <c r="B114" s="93"/>
      <c r="C114" s="93">
        <f>10000</f>
        <v>10000</v>
      </c>
      <c r="D114" s="93">
        <v>0</v>
      </c>
      <c r="E114" s="93">
        <v>0</v>
      </c>
      <c r="F114" s="93">
        <v>0</v>
      </c>
      <c r="G114" s="93">
        <f>384580+590940+304260</f>
        <v>1279780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/>
      <c r="N114" s="93"/>
      <c r="O114" s="93">
        <f>SUM(O112:O113)</f>
        <v>0</v>
      </c>
      <c r="P114" s="93">
        <v>0</v>
      </c>
      <c r="Q114" s="93"/>
      <c r="R114" s="73">
        <f>SUM(C114:Q114)</f>
        <v>1289780</v>
      </c>
    </row>
    <row r="115" spans="1:18" ht="13.5" customHeight="1" thickTop="1">
      <c r="A115" s="94" t="s">
        <v>323</v>
      </c>
      <c r="B115" s="77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  <c r="Q115" s="82"/>
      <c r="R115" s="83"/>
    </row>
    <row r="116" spans="1:18" ht="13.5" customHeight="1">
      <c r="A116" s="94" t="s">
        <v>324</v>
      </c>
      <c r="B116" s="78"/>
      <c r="C116" s="77"/>
      <c r="D116" s="77">
        <v>0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67"/>
      <c r="Q116" s="77"/>
      <c r="R116" s="67">
        <f>SUM(B116:P116)</f>
        <v>0</v>
      </c>
    </row>
    <row r="117" spans="1:18" ht="13.5" customHeight="1">
      <c r="A117" s="90" t="s">
        <v>36</v>
      </c>
      <c r="B117" s="61">
        <v>0</v>
      </c>
      <c r="C117" s="61">
        <v>0</v>
      </c>
      <c r="D117" s="61">
        <f>SUM(D116)</f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/>
      <c r="N117" s="61"/>
      <c r="O117" s="61">
        <v>0</v>
      </c>
      <c r="P117" s="61">
        <v>0</v>
      </c>
      <c r="Q117" s="61"/>
      <c r="R117" s="61">
        <f>SUM(B117:P117)</f>
        <v>0</v>
      </c>
    </row>
    <row r="118" spans="1:18" ht="13.5" customHeight="1" thickBot="1">
      <c r="A118" s="91" t="s">
        <v>37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/>
      <c r="N118" s="93"/>
      <c r="O118" s="93">
        <v>0</v>
      </c>
      <c r="P118" s="93">
        <v>0</v>
      </c>
      <c r="Q118" s="93"/>
      <c r="R118" s="93">
        <f>SUM(B118:P118)</f>
        <v>0</v>
      </c>
    </row>
    <row r="119" spans="1:18" ht="13.5" customHeight="1" thickTop="1">
      <c r="A119" s="90" t="s">
        <v>36</v>
      </c>
      <c r="B119" s="72">
        <f>SUM(B13)</f>
        <v>86817</v>
      </c>
      <c r="C119" s="61">
        <f>SUM(C22+C28+C33+C46+C54+C61+C76+C89+C100+C106++C113)</f>
        <v>577053.94</v>
      </c>
      <c r="D119" s="150">
        <f>SUM(D118)</f>
        <v>0</v>
      </c>
      <c r="E119" s="150">
        <f>SUM(E22+E28+E33+E46+E54+E61+E76+E89+E100+E106+E113)</f>
        <v>123450</v>
      </c>
      <c r="F119" s="150">
        <f>SUM(F61)</f>
        <v>0</v>
      </c>
      <c r="G119" s="150">
        <f>SUM(G28+G46+G54+G61+G76+G89+G100+G106+G113)</f>
        <v>359786.9</v>
      </c>
      <c r="H119" s="150">
        <f>SUM(H46+H61+H113+H76)</f>
        <v>800</v>
      </c>
      <c r="I119" s="150">
        <f>SUM(I46+I54+I61+I76+I89+I100+I106+I113)</f>
        <v>10000</v>
      </c>
      <c r="J119" s="150">
        <f>SUM(J46+J54+J61+J76+J89+J100+J106+J113)</f>
        <v>0</v>
      </c>
      <c r="K119" s="150">
        <f>SUM(K28+K33+K46+K54+K61+K76+K89+K100+K106+K113)</f>
        <v>109655</v>
      </c>
      <c r="L119" s="150">
        <f>SUM(L113)</f>
        <v>0</v>
      </c>
      <c r="M119" s="150">
        <f>SUM(M61)</f>
        <v>0</v>
      </c>
      <c r="N119" s="150">
        <f>SUM(N61)</f>
        <v>0</v>
      </c>
      <c r="O119" s="150">
        <f>SUM(O61)</f>
        <v>0</v>
      </c>
      <c r="P119" s="150">
        <f>SUM(P13+P22+P28+P33+P46+P54+P61+P76+P89+P100+P106+P113)</f>
        <v>0</v>
      </c>
      <c r="Q119" s="150">
        <f>SUM(Q106)</f>
        <v>891600</v>
      </c>
      <c r="R119" s="72">
        <f>SUM(B119:Q119)</f>
        <v>2159162.84</v>
      </c>
    </row>
    <row r="120" spans="1:18" ht="13.5" customHeight="1" thickBot="1">
      <c r="A120" s="91" t="s">
        <v>37</v>
      </c>
      <c r="B120" s="73">
        <f>54652+155486+7752+127752+7752+7752+22005</f>
        <v>383151</v>
      </c>
      <c r="C120" s="93">
        <f>527791.88+551486.58+564633.15+780109.15+962974.38+581014.52+640231.06</f>
        <v>4608240.72</v>
      </c>
      <c r="D120" s="93">
        <v>0</v>
      </c>
      <c r="E120" s="93">
        <f>127005+145335+152923+194430+146795+165576+134095</f>
        <v>1066159</v>
      </c>
      <c r="F120" s="93">
        <f>5250+4350</f>
        <v>9600</v>
      </c>
      <c r="G120" s="93">
        <f>59701.3+495779.08+58961.31+662880.6+62148.52+110111.91+62472.3</f>
        <v>1512055.02</v>
      </c>
      <c r="H120" s="93">
        <f>105612.66+48507.72+174136.52+231283.88+120025.3</f>
        <v>679566.0800000001</v>
      </c>
      <c r="I120" s="93">
        <f>10000+10000+10000+10000+10000+10000+10000</f>
        <v>70000</v>
      </c>
      <c r="J120" s="93">
        <f>3000+288000</f>
        <v>291000</v>
      </c>
      <c r="K120" s="93">
        <f>99320+95070+111266+119929+108499+101285+94255</f>
        <v>729624</v>
      </c>
      <c r="L120" s="93">
        <v>0</v>
      </c>
      <c r="M120" s="93">
        <v>0</v>
      </c>
      <c r="N120" s="93">
        <v>0</v>
      </c>
      <c r="O120" s="93">
        <f>60169+57420</f>
        <v>117589</v>
      </c>
      <c r="P120" s="93">
        <f>5952+167215</f>
        <v>173167</v>
      </c>
      <c r="Q120" s="93">
        <f>143000</f>
        <v>143000</v>
      </c>
      <c r="R120" s="73">
        <f>SUM(B120:Q120)</f>
        <v>9783151.82</v>
      </c>
    </row>
    <row r="121" ht="15" thickTop="1"/>
  </sheetData>
  <sheetProtection/>
  <mergeCells count="27">
    <mergeCell ref="M5:N5"/>
    <mergeCell ref="M41:N41"/>
    <mergeCell ref="M81:N81"/>
    <mergeCell ref="R41:R42"/>
    <mergeCell ref="B81:B82"/>
    <mergeCell ref="C81:E81"/>
    <mergeCell ref="G81:H81"/>
    <mergeCell ref="I81:J81"/>
    <mergeCell ref="K81:L81"/>
    <mergeCell ref="O81:P81"/>
    <mergeCell ref="R81:R82"/>
    <mergeCell ref="B41:B42"/>
    <mergeCell ref="C41:E41"/>
    <mergeCell ref="G41:H41"/>
    <mergeCell ref="I41:J41"/>
    <mergeCell ref="K41:L41"/>
    <mergeCell ref="O41:P41"/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workbookViewId="0" topLeftCell="A1">
      <selection activeCell="A3" sqref="A3:R3"/>
    </sheetView>
  </sheetViews>
  <sheetFormatPr defaultColWidth="9.140625" defaultRowHeight="12.75"/>
  <cols>
    <col min="1" max="1" width="12.421875" style="68" customWidth="1"/>
    <col min="2" max="2" width="7.7109375" style="81" customWidth="1"/>
    <col min="3" max="3" width="7.57421875" style="81" customWidth="1"/>
    <col min="4" max="4" width="7.7109375" style="81" customWidth="1"/>
    <col min="5" max="6" width="7.421875" style="81" customWidth="1"/>
    <col min="7" max="7" width="7.57421875" style="81" customWidth="1"/>
    <col min="8" max="9" width="7.421875" style="81" customWidth="1"/>
    <col min="10" max="10" width="7.28125" style="81" customWidth="1"/>
    <col min="11" max="11" width="7.421875" style="81" customWidth="1"/>
    <col min="12" max="14" width="7.140625" style="81" customWidth="1"/>
    <col min="15" max="15" width="7.421875" style="81" customWidth="1"/>
    <col min="16" max="16" width="7.57421875" style="81" customWidth="1"/>
    <col min="17" max="17" width="7.57421875" style="62" customWidth="1"/>
    <col min="18" max="18" width="9.7109375" style="62" customWidth="1"/>
    <col min="19" max="16384" width="9.140625" style="63" customWidth="1"/>
  </cols>
  <sheetData>
    <row r="1" spans="1:18" ht="16.5">
      <c r="A1" s="347" t="s">
        <v>91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</row>
    <row r="2" spans="1:18" ht="16.5">
      <c r="A2" s="347" t="s">
        <v>480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</row>
    <row r="3" spans="1:18" ht="16.5">
      <c r="A3" s="348" t="s">
        <v>554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</row>
    <row r="4" spans="3:18" s="123" customFormat="1" ht="16.5" customHeight="1"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</row>
    <row r="5" spans="1:18" s="64" customFormat="1" ht="14.25">
      <c r="A5" s="65" t="s">
        <v>115</v>
      </c>
      <c r="B5" s="349" t="s">
        <v>92</v>
      </c>
      <c r="C5" s="350" t="s">
        <v>93</v>
      </c>
      <c r="D5" s="350"/>
      <c r="E5" s="350"/>
      <c r="F5" s="87" t="s">
        <v>94</v>
      </c>
      <c r="G5" s="350" t="s">
        <v>95</v>
      </c>
      <c r="H5" s="350"/>
      <c r="I5" s="350" t="s">
        <v>96</v>
      </c>
      <c r="J5" s="350"/>
      <c r="K5" s="350" t="s">
        <v>98</v>
      </c>
      <c r="L5" s="350"/>
      <c r="M5" s="351" t="s">
        <v>392</v>
      </c>
      <c r="N5" s="352"/>
      <c r="O5" s="350" t="s">
        <v>99</v>
      </c>
      <c r="P5" s="350"/>
      <c r="Q5" s="281" t="s">
        <v>113</v>
      </c>
      <c r="R5" s="353" t="s">
        <v>19</v>
      </c>
    </row>
    <row r="6" spans="1:18" s="64" customFormat="1" ht="14.25">
      <c r="A6" s="66" t="s">
        <v>116</v>
      </c>
      <c r="B6" s="349"/>
      <c r="C6" s="87" t="s">
        <v>100</v>
      </c>
      <c r="D6" s="87" t="s">
        <v>111</v>
      </c>
      <c r="E6" s="87" t="s">
        <v>101</v>
      </c>
      <c r="F6" s="87" t="s">
        <v>102</v>
      </c>
      <c r="G6" s="87" t="s">
        <v>103</v>
      </c>
      <c r="H6" s="87" t="s">
        <v>104</v>
      </c>
      <c r="I6" s="87" t="s">
        <v>105</v>
      </c>
      <c r="J6" s="87" t="s">
        <v>106</v>
      </c>
      <c r="K6" s="87" t="s">
        <v>107</v>
      </c>
      <c r="L6" s="87" t="s">
        <v>108</v>
      </c>
      <c r="M6" s="87" t="s">
        <v>467</v>
      </c>
      <c r="N6" s="87" t="s">
        <v>391</v>
      </c>
      <c r="O6" s="87" t="s">
        <v>109</v>
      </c>
      <c r="P6" s="87" t="s">
        <v>110</v>
      </c>
      <c r="Q6" s="192" t="s">
        <v>114</v>
      </c>
      <c r="R6" s="354"/>
    </row>
    <row r="7" spans="1:18" ht="14.25">
      <c r="A7" s="88" t="s">
        <v>255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8" spans="1:18" ht="14.25">
      <c r="A8" s="89" t="s">
        <v>256</v>
      </c>
      <c r="B8" s="67">
        <v>500</v>
      </c>
      <c r="C8" s="67"/>
      <c r="D8" s="67"/>
      <c r="E8" s="67" t="s">
        <v>253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>
        <f>SUM(B8:P8)</f>
        <v>500</v>
      </c>
    </row>
    <row r="9" spans="1:18" ht="14.25">
      <c r="A9" s="90" t="s">
        <v>478</v>
      </c>
      <c r="B9" s="70">
        <v>595300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>
        <f>SUM(B9:Q9)</f>
        <v>595300</v>
      </c>
    </row>
    <row r="10" spans="1:18" ht="14.25">
      <c r="A10" s="90" t="s">
        <v>479</v>
      </c>
      <c r="B10" s="70">
        <v>140000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>
        <f>SUM(B10:P10)</f>
        <v>140000</v>
      </c>
    </row>
    <row r="11" spans="1:18" ht="14.25">
      <c r="A11" s="90" t="s">
        <v>259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>
        <f>SUM(B11:P11)</f>
        <v>0</v>
      </c>
    </row>
    <row r="12" spans="1:18" ht="14.25">
      <c r="A12" s="90" t="s">
        <v>260</v>
      </c>
      <c r="B12" s="86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>
        <f>SUM(B12:Q12)</f>
        <v>0</v>
      </c>
    </row>
    <row r="13" spans="1:18" ht="14.25">
      <c r="A13" s="90" t="s">
        <v>36</v>
      </c>
      <c r="B13" s="72">
        <f>SUM(B8:B10)</f>
        <v>735800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/>
      <c r="N13" s="61"/>
      <c r="O13" s="61">
        <v>0</v>
      </c>
      <c r="P13" s="61">
        <v>0</v>
      </c>
      <c r="Q13" s="61"/>
      <c r="R13" s="72">
        <f>SUM(B13:Q13)</f>
        <v>735800</v>
      </c>
    </row>
    <row r="14" spans="1:18" ht="15" thickBot="1">
      <c r="A14" s="91" t="s">
        <v>37</v>
      </c>
      <c r="B14" s="73">
        <f>760350+757300+753000+749850+744500+742200+739300+735800</f>
        <v>5982300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/>
      <c r="N14" s="61"/>
      <c r="O14" s="61">
        <v>0</v>
      </c>
      <c r="P14" s="61">
        <v>0</v>
      </c>
      <c r="Q14" s="190"/>
      <c r="R14" s="73">
        <f>SUM(B14:P14)</f>
        <v>5982300</v>
      </c>
    </row>
    <row r="15" spans="1:18" ht="15" thickTop="1">
      <c r="A15" s="92" t="s">
        <v>261</v>
      </c>
      <c r="B15" s="74"/>
      <c r="C15" s="8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4"/>
      <c r="R15" s="75" t="s">
        <v>446</v>
      </c>
    </row>
    <row r="16" spans="1:18" ht="14.25">
      <c r="A16" s="90" t="s">
        <v>262</v>
      </c>
      <c r="B16" s="76"/>
      <c r="C16" s="70">
        <v>0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0"/>
      <c r="Q16" s="76"/>
      <c r="R16" s="70">
        <f aca="true" t="shared" si="0" ref="R16:R23">SUM(C16:P16)</f>
        <v>0</v>
      </c>
    </row>
    <row r="17" spans="1:18" ht="14.25">
      <c r="A17" s="89" t="s">
        <v>263</v>
      </c>
      <c r="B17" s="77"/>
      <c r="C17" s="77">
        <v>0</v>
      </c>
      <c r="D17" s="77"/>
      <c r="E17" s="77">
        <v>0</v>
      </c>
      <c r="F17" s="77"/>
      <c r="G17" s="77">
        <v>0</v>
      </c>
      <c r="H17" s="77"/>
      <c r="I17" s="77"/>
      <c r="J17" s="77"/>
      <c r="K17" s="77">
        <v>0</v>
      </c>
      <c r="L17" s="77"/>
      <c r="M17" s="77"/>
      <c r="N17" s="77"/>
      <c r="O17" s="77"/>
      <c r="P17" s="67"/>
      <c r="Q17" s="77"/>
      <c r="R17" s="67">
        <f t="shared" si="0"/>
        <v>0</v>
      </c>
    </row>
    <row r="18" spans="1:18" ht="14.25">
      <c r="A18" s="90" t="s">
        <v>264</v>
      </c>
      <c r="B18" s="76"/>
      <c r="C18" s="76">
        <v>0</v>
      </c>
      <c r="D18" s="76"/>
      <c r="E18" s="76">
        <v>0</v>
      </c>
      <c r="F18" s="76"/>
      <c r="G18" s="76">
        <v>0</v>
      </c>
      <c r="H18" s="76"/>
      <c r="I18" s="76"/>
      <c r="J18" s="76"/>
      <c r="K18" s="76">
        <v>0</v>
      </c>
      <c r="L18" s="76"/>
      <c r="M18" s="76"/>
      <c r="N18" s="76"/>
      <c r="O18" s="76"/>
      <c r="P18" s="70"/>
      <c r="Q18" s="76"/>
      <c r="R18" s="70">
        <f t="shared" si="0"/>
        <v>0</v>
      </c>
    </row>
    <row r="19" spans="1:18" ht="14.25">
      <c r="A19" s="90" t="s">
        <v>265</v>
      </c>
      <c r="B19" s="76"/>
      <c r="C19" s="70">
        <v>0</v>
      </c>
      <c r="D19" s="76"/>
      <c r="E19" s="76">
        <v>0</v>
      </c>
      <c r="F19" s="76"/>
      <c r="G19" s="76"/>
      <c r="H19" s="76"/>
      <c r="I19" s="76"/>
      <c r="J19" s="76"/>
      <c r="K19" s="76">
        <v>0</v>
      </c>
      <c r="L19" s="76"/>
      <c r="M19" s="76"/>
      <c r="N19" s="76"/>
      <c r="O19" s="76"/>
      <c r="P19" s="70"/>
      <c r="Q19" s="76"/>
      <c r="R19" s="70">
        <f t="shared" si="0"/>
        <v>0</v>
      </c>
    </row>
    <row r="20" spans="1:18" ht="14.25">
      <c r="A20" s="89" t="s">
        <v>266</v>
      </c>
      <c r="B20" s="77"/>
      <c r="C20" s="77">
        <v>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67"/>
      <c r="Q20" s="77"/>
      <c r="R20" s="67">
        <f t="shared" si="0"/>
        <v>0</v>
      </c>
    </row>
    <row r="21" spans="1:18" ht="14.25">
      <c r="A21" s="90" t="s">
        <v>267</v>
      </c>
      <c r="B21" s="76"/>
      <c r="C21" s="70">
        <v>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0"/>
      <c r="Q21" s="76"/>
      <c r="R21" s="70">
        <f t="shared" si="0"/>
        <v>0</v>
      </c>
    </row>
    <row r="22" spans="1:18" ht="14.25">
      <c r="A22" s="90" t="s">
        <v>36</v>
      </c>
      <c r="B22" s="61"/>
      <c r="C22" s="79">
        <f>SUM(C16:C21)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/>
      <c r="N22" s="61"/>
      <c r="O22" s="61">
        <v>0</v>
      </c>
      <c r="P22" s="61">
        <v>0</v>
      </c>
      <c r="Q22" s="61"/>
      <c r="R22" s="72">
        <f t="shared" si="0"/>
        <v>0</v>
      </c>
    </row>
    <row r="23" spans="1:18" ht="15" thickBot="1">
      <c r="A23" s="91" t="s">
        <v>37</v>
      </c>
      <c r="B23" s="93"/>
      <c r="C23" s="80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/>
      <c r="N23" s="93"/>
      <c r="O23" s="93">
        <v>0</v>
      </c>
      <c r="P23" s="93">
        <v>0</v>
      </c>
      <c r="Q23" s="93"/>
      <c r="R23" s="73">
        <f t="shared" si="0"/>
        <v>0</v>
      </c>
    </row>
    <row r="24" spans="1:18" ht="15" thickTop="1">
      <c r="A24" s="89" t="s">
        <v>268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3"/>
      <c r="Q24" s="77"/>
      <c r="R24" s="67"/>
    </row>
    <row r="25" spans="1:18" ht="14.25">
      <c r="A25" s="90" t="s">
        <v>269</v>
      </c>
      <c r="B25" s="76"/>
      <c r="C25" s="76">
        <v>0</v>
      </c>
      <c r="D25" s="76"/>
      <c r="E25" s="76">
        <v>0</v>
      </c>
      <c r="F25" s="76"/>
      <c r="G25" s="76">
        <v>0</v>
      </c>
      <c r="H25" s="76">
        <v>16570</v>
      </c>
      <c r="I25" s="76"/>
      <c r="J25" s="76"/>
      <c r="K25" s="76">
        <v>0</v>
      </c>
      <c r="L25" s="76"/>
      <c r="M25" s="76"/>
      <c r="N25" s="76"/>
      <c r="O25" s="76"/>
      <c r="P25" s="70"/>
      <c r="Q25" s="76"/>
      <c r="R25" s="70">
        <f>SUM(C25:Q25)</f>
        <v>16570</v>
      </c>
    </row>
    <row r="26" spans="1:18" ht="14.25">
      <c r="A26" s="90" t="s">
        <v>270</v>
      </c>
      <c r="B26" s="76"/>
      <c r="C26" s="76"/>
      <c r="D26" s="76"/>
      <c r="E26" s="76"/>
      <c r="F26" s="76"/>
      <c r="G26" s="76"/>
      <c r="H26" s="76"/>
      <c r="I26" s="76"/>
      <c r="J26" s="76"/>
      <c r="K26" s="76">
        <v>0</v>
      </c>
      <c r="L26" s="76"/>
      <c r="M26" s="76"/>
      <c r="N26" s="76"/>
      <c r="O26" s="76"/>
      <c r="P26" s="70"/>
      <c r="Q26" s="76"/>
      <c r="R26" s="70">
        <f>SUM(C26:P26)</f>
        <v>0</v>
      </c>
    </row>
    <row r="27" spans="1:18" ht="14.25">
      <c r="A27" s="89" t="s">
        <v>271</v>
      </c>
      <c r="B27" s="77"/>
      <c r="C27" s="77">
        <v>0</v>
      </c>
      <c r="D27" s="77"/>
      <c r="E27" s="77">
        <v>0</v>
      </c>
      <c r="F27" s="77"/>
      <c r="G27" s="77">
        <v>0</v>
      </c>
      <c r="H27" s="77"/>
      <c r="I27" s="77"/>
      <c r="J27" s="77"/>
      <c r="K27" s="77">
        <v>0</v>
      </c>
      <c r="L27" s="77"/>
      <c r="M27" s="77"/>
      <c r="N27" s="77"/>
      <c r="O27" s="77"/>
      <c r="P27" s="67"/>
      <c r="Q27" s="77"/>
      <c r="R27" s="67">
        <f>SUM(C27:Q27)</f>
        <v>0</v>
      </c>
    </row>
    <row r="28" spans="1:18" ht="14.25">
      <c r="A28" s="90" t="s">
        <v>36</v>
      </c>
      <c r="B28" s="61"/>
      <c r="C28" s="79">
        <f>SUM(C25:C27)</f>
        <v>0</v>
      </c>
      <c r="D28" s="61">
        <v>0</v>
      </c>
      <c r="E28" s="61">
        <f>SUM(E25:E27)</f>
        <v>0</v>
      </c>
      <c r="F28" s="61">
        <v>0</v>
      </c>
      <c r="G28" s="61">
        <f>SUM(G25:G27)</f>
        <v>0</v>
      </c>
      <c r="H28" s="61">
        <f>SUM(H25:H27)</f>
        <v>16570</v>
      </c>
      <c r="I28" s="61">
        <v>0</v>
      </c>
      <c r="J28" s="61">
        <v>0</v>
      </c>
      <c r="K28" s="61">
        <f>SUM(K25:K27)</f>
        <v>0</v>
      </c>
      <c r="L28" s="61">
        <v>0</v>
      </c>
      <c r="M28" s="61"/>
      <c r="N28" s="61"/>
      <c r="O28" s="61">
        <v>0</v>
      </c>
      <c r="P28" s="61">
        <v>0</v>
      </c>
      <c r="Q28" s="61"/>
      <c r="R28" s="61">
        <f>SUM(C28:P28)</f>
        <v>16570</v>
      </c>
    </row>
    <row r="29" spans="1:18" ht="15" thickBot="1">
      <c r="A29" s="91" t="s">
        <v>37</v>
      </c>
      <c r="B29" s="93"/>
      <c r="C29" s="80">
        <v>0</v>
      </c>
      <c r="D29" s="93">
        <v>0</v>
      </c>
      <c r="E29" s="93">
        <v>0</v>
      </c>
      <c r="F29" s="93">
        <v>0</v>
      </c>
      <c r="G29" s="93">
        <v>0</v>
      </c>
      <c r="H29" s="93">
        <f>16570+15810+16190+16190+16190+16190+16570+16570</f>
        <v>130280</v>
      </c>
      <c r="I29" s="93">
        <v>0</v>
      </c>
      <c r="J29" s="93">
        <v>0</v>
      </c>
      <c r="K29" s="93">
        <v>0</v>
      </c>
      <c r="L29" s="93">
        <v>0</v>
      </c>
      <c r="M29" s="93"/>
      <c r="N29" s="93"/>
      <c r="O29" s="93">
        <v>0</v>
      </c>
      <c r="P29" s="93">
        <v>0</v>
      </c>
      <c r="Q29" s="93"/>
      <c r="R29" s="93">
        <f>SUM(C29:P29)</f>
        <v>130280</v>
      </c>
    </row>
    <row r="30" spans="1:18" ht="15" thickTop="1">
      <c r="A30" s="89" t="s">
        <v>268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67"/>
      <c r="Q30" s="77"/>
      <c r="R30" s="84"/>
    </row>
    <row r="31" spans="1:18" ht="14.25">
      <c r="A31" s="90" t="s">
        <v>272</v>
      </c>
      <c r="B31" s="76"/>
      <c r="C31" s="76">
        <v>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>
        <v>0</v>
      </c>
      <c r="L31" s="76"/>
      <c r="M31" s="76"/>
      <c r="N31" s="76"/>
      <c r="O31" s="76"/>
      <c r="P31" s="70"/>
      <c r="Q31" s="76"/>
      <c r="R31" s="70">
        <f>SUM(C31:P31)</f>
        <v>0</v>
      </c>
    </row>
    <row r="32" spans="1:18" ht="14.25">
      <c r="A32" s="89" t="s">
        <v>273</v>
      </c>
      <c r="B32" s="78"/>
      <c r="C32" s="77">
        <v>0</v>
      </c>
      <c r="D32" s="77"/>
      <c r="E32" s="77">
        <v>0</v>
      </c>
      <c r="F32" s="77"/>
      <c r="G32" s="77">
        <v>0</v>
      </c>
      <c r="H32" s="77"/>
      <c r="I32" s="77">
        <v>0</v>
      </c>
      <c r="J32" s="77"/>
      <c r="K32" s="77">
        <v>0</v>
      </c>
      <c r="L32" s="77"/>
      <c r="M32" s="77"/>
      <c r="N32" s="77"/>
      <c r="O32" s="77"/>
      <c r="P32" s="67"/>
      <c r="Q32" s="77"/>
      <c r="R32" s="67">
        <f>SUM(C32:P32)</f>
        <v>0</v>
      </c>
    </row>
    <row r="33" spans="1:18" ht="14.25">
      <c r="A33" s="90" t="s">
        <v>36</v>
      </c>
      <c r="B33" s="61"/>
      <c r="C33" s="79">
        <f>SUM(C31:C32)</f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/>
      <c r="N33" s="61"/>
      <c r="O33" s="61">
        <v>0</v>
      </c>
      <c r="P33" s="61">
        <v>0</v>
      </c>
      <c r="Q33" s="61"/>
      <c r="R33" s="72">
        <f>SUM(C33:P33)</f>
        <v>0</v>
      </c>
    </row>
    <row r="34" spans="1:18" ht="15" thickBot="1">
      <c r="A34" s="91" t="s">
        <v>37</v>
      </c>
      <c r="B34" s="93"/>
      <c r="C34" s="73">
        <v>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/>
      <c r="N34" s="93"/>
      <c r="O34" s="93">
        <v>0</v>
      </c>
      <c r="P34" s="93">
        <v>0</v>
      </c>
      <c r="Q34" s="93"/>
      <c r="R34" s="73">
        <f>SUM(C34:P34)</f>
        <v>0</v>
      </c>
    </row>
    <row r="35" ht="15" thickTop="1">
      <c r="C35" s="183"/>
    </row>
    <row r="41" spans="1:18" s="64" customFormat="1" ht="14.25">
      <c r="A41" s="65" t="s">
        <v>115</v>
      </c>
      <c r="B41" s="349" t="s">
        <v>92</v>
      </c>
      <c r="C41" s="350" t="s">
        <v>93</v>
      </c>
      <c r="D41" s="350"/>
      <c r="E41" s="350"/>
      <c r="F41" s="87" t="s">
        <v>94</v>
      </c>
      <c r="G41" s="350" t="s">
        <v>95</v>
      </c>
      <c r="H41" s="350"/>
      <c r="I41" s="350" t="s">
        <v>96</v>
      </c>
      <c r="J41" s="350"/>
      <c r="K41" s="350" t="s">
        <v>98</v>
      </c>
      <c r="L41" s="350"/>
      <c r="M41" s="351" t="s">
        <v>392</v>
      </c>
      <c r="N41" s="352"/>
      <c r="O41" s="350" t="s">
        <v>99</v>
      </c>
      <c r="P41" s="350"/>
      <c r="Q41" s="280" t="s">
        <v>113</v>
      </c>
      <c r="R41" s="353" t="s">
        <v>19</v>
      </c>
    </row>
    <row r="42" spans="1:18" s="64" customFormat="1" ht="14.25">
      <c r="A42" s="66" t="s">
        <v>116</v>
      </c>
      <c r="B42" s="349"/>
      <c r="C42" s="87" t="s">
        <v>100</v>
      </c>
      <c r="D42" s="87" t="s">
        <v>111</v>
      </c>
      <c r="E42" s="87" t="s">
        <v>101</v>
      </c>
      <c r="F42" s="87" t="s">
        <v>102</v>
      </c>
      <c r="G42" s="87" t="s">
        <v>103</v>
      </c>
      <c r="H42" s="87" t="s">
        <v>104</v>
      </c>
      <c r="I42" s="87" t="s">
        <v>105</v>
      </c>
      <c r="J42" s="87" t="s">
        <v>106</v>
      </c>
      <c r="K42" s="87" t="s">
        <v>107</v>
      </c>
      <c r="L42" s="87" t="s">
        <v>108</v>
      </c>
      <c r="M42" s="87" t="s">
        <v>467</v>
      </c>
      <c r="N42" s="87" t="s">
        <v>391</v>
      </c>
      <c r="O42" s="87" t="s">
        <v>109</v>
      </c>
      <c r="P42" s="87" t="s">
        <v>110</v>
      </c>
      <c r="Q42" s="192" t="s">
        <v>114</v>
      </c>
      <c r="R42" s="354"/>
    </row>
    <row r="43" spans="1:18" ht="14.25">
      <c r="A43" s="92" t="s">
        <v>268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4.25">
      <c r="A44" s="90" t="s">
        <v>274</v>
      </c>
      <c r="B44" s="70"/>
      <c r="C44" s="70">
        <v>0</v>
      </c>
      <c r="D44" s="70"/>
      <c r="E44" s="70">
        <v>0</v>
      </c>
      <c r="F44" s="70"/>
      <c r="G44" s="70">
        <v>0</v>
      </c>
      <c r="H44" s="70">
        <v>9000</v>
      </c>
      <c r="I44" s="70">
        <v>0</v>
      </c>
      <c r="J44" s="70"/>
      <c r="K44" s="70">
        <v>0</v>
      </c>
      <c r="L44" s="70"/>
      <c r="M44" s="70"/>
      <c r="N44" s="70"/>
      <c r="O44" s="70"/>
      <c r="P44" s="70"/>
      <c r="Q44" s="70"/>
      <c r="R44" s="70">
        <f>SUM(C44:P44)</f>
        <v>9000</v>
      </c>
    </row>
    <row r="45" spans="1:18" ht="14.25">
      <c r="A45" s="94" t="s">
        <v>275</v>
      </c>
      <c r="B45" s="67"/>
      <c r="C45" s="67">
        <v>0</v>
      </c>
      <c r="D45" s="67"/>
      <c r="E45" s="67">
        <v>0</v>
      </c>
      <c r="F45" s="67"/>
      <c r="G45" s="67">
        <v>0</v>
      </c>
      <c r="H45" s="67">
        <v>1000</v>
      </c>
      <c r="I45" s="67">
        <v>0</v>
      </c>
      <c r="J45" s="67"/>
      <c r="K45" s="67">
        <v>0</v>
      </c>
      <c r="L45" s="67"/>
      <c r="M45" s="67"/>
      <c r="N45" s="67"/>
      <c r="O45" s="67"/>
      <c r="P45" s="67"/>
      <c r="Q45" s="67"/>
      <c r="R45" s="67">
        <f>SUM(C45:P45)</f>
        <v>1000</v>
      </c>
    </row>
    <row r="46" spans="1:18" ht="14.25">
      <c r="A46" s="90" t="s">
        <v>36</v>
      </c>
      <c r="B46" s="61"/>
      <c r="C46" s="72">
        <f>SUM(C44:C45)</f>
        <v>0</v>
      </c>
      <c r="D46" s="61">
        <v>0</v>
      </c>
      <c r="E46" s="61">
        <f>SUM(E44:E45)</f>
        <v>0</v>
      </c>
      <c r="F46" s="61">
        <v>0</v>
      </c>
      <c r="G46" s="61">
        <f>SUM(G44:G45)</f>
        <v>0</v>
      </c>
      <c r="H46" s="61">
        <f>SUM(H44:H45)</f>
        <v>10000</v>
      </c>
      <c r="I46" s="61">
        <f>SUM(I44:I45)</f>
        <v>0</v>
      </c>
      <c r="J46" s="61">
        <v>0</v>
      </c>
      <c r="K46" s="61">
        <f>SUM(K44:K45)</f>
        <v>0</v>
      </c>
      <c r="L46" s="61">
        <v>0</v>
      </c>
      <c r="M46" s="61"/>
      <c r="N46" s="61"/>
      <c r="O46" s="61">
        <v>0</v>
      </c>
      <c r="P46" s="61">
        <v>0</v>
      </c>
      <c r="Q46" s="61"/>
      <c r="R46" s="61">
        <f>SUM(C46:P46)</f>
        <v>10000</v>
      </c>
    </row>
    <row r="47" spans="1:18" ht="15" thickBot="1">
      <c r="A47" s="91" t="s">
        <v>37</v>
      </c>
      <c r="B47" s="93"/>
      <c r="C47" s="73"/>
      <c r="D47" s="61">
        <v>0</v>
      </c>
      <c r="E47" s="61">
        <v>0</v>
      </c>
      <c r="F47" s="61">
        <v>0</v>
      </c>
      <c r="G47" s="61">
        <v>0</v>
      </c>
      <c r="H47" s="61">
        <f>9000+10000+10000+11000+10000+10000+10000+10000</f>
        <v>80000</v>
      </c>
      <c r="I47" s="61">
        <v>0</v>
      </c>
      <c r="J47" s="61">
        <v>0</v>
      </c>
      <c r="K47" s="61">
        <v>0</v>
      </c>
      <c r="L47" s="61">
        <v>0</v>
      </c>
      <c r="M47" s="61"/>
      <c r="N47" s="61"/>
      <c r="O47" s="61">
        <v>0</v>
      </c>
      <c r="P47" s="61">
        <v>0</v>
      </c>
      <c r="Q47" s="61"/>
      <c r="R47" s="61">
        <f>SUM(C47:P47)</f>
        <v>80000</v>
      </c>
    </row>
    <row r="48" spans="1:18" ht="15" thickTop="1">
      <c r="A48" s="92" t="s">
        <v>276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74"/>
      <c r="R48" s="75"/>
    </row>
    <row r="49" spans="1:18" ht="14.25">
      <c r="A49" s="90" t="s">
        <v>277</v>
      </c>
      <c r="B49" s="76"/>
      <c r="C49" s="76">
        <v>0</v>
      </c>
      <c r="D49" s="76"/>
      <c r="E49" s="76">
        <v>0</v>
      </c>
      <c r="F49" s="76"/>
      <c r="G49" s="76">
        <v>0</v>
      </c>
      <c r="H49" s="76"/>
      <c r="I49" s="76">
        <v>0</v>
      </c>
      <c r="J49" s="76"/>
      <c r="K49" s="76">
        <v>0</v>
      </c>
      <c r="L49" s="76">
        <v>0</v>
      </c>
      <c r="M49" s="76"/>
      <c r="N49" s="76"/>
      <c r="O49" s="76"/>
      <c r="P49" s="70"/>
      <c r="Q49" s="76"/>
      <c r="R49" s="70">
        <f>SUM(C49:P49)</f>
        <v>0</v>
      </c>
    </row>
    <row r="50" spans="1:18" ht="14.25">
      <c r="A50" s="89" t="s">
        <v>278</v>
      </c>
      <c r="B50" s="77"/>
      <c r="C50" s="77">
        <v>0</v>
      </c>
      <c r="D50" s="77"/>
      <c r="E50" s="77">
        <v>0</v>
      </c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67"/>
      <c r="Q50" s="77"/>
      <c r="R50" s="67">
        <f>SUM(C50:P50)</f>
        <v>0</v>
      </c>
    </row>
    <row r="51" spans="1:18" ht="14.25">
      <c r="A51" s="90" t="s">
        <v>279</v>
      </c>
      <c r="B51" s="76"/>
      <c r="C51" s="76">
        <v>0</v>
      </c>
      <c r="D51" s="76"/>
      <c r="E51" s="76">
        <v>0</v>
      </c>
      <c r="F51" s="76"/>
      <c r="G51" s="76">
        <v>0</v>
      </c>
      <c r="H51" s="76">
        <v>0</v>
      </c>
      <c r="I51" s="76"/>
      <c r="J51" s="76"/>
      <c r="K51" s="76">
        <v>0</v>
      </c>
      <c r="L51" s="76"/>
      <c r="M51" s="76"/>
      <c r="N51" s="76"/>
      <c r="O51" s="76"/>
      <c r="P51" s="70"/>
      <c r="Q51" s="76"/>
      <c r="R51" s="70">
        <f>SUM(C51:Q51)</f>
        <v>0</v>
      </c>
    </row>
    <row r="52" spans="1:18" ht="14.25">
      <c r="A52" s="90" t="s">
        <v>280</v>
      </c>
      <c r="B52" s="76"/>
      <c r="C52" s="76">
        <v>0</v>
      </c>
      <c r="D52" s="76"/>
      <c r="E52" s="76">
        <v>0</v>
      </c>
      <c r="F52" s="76">
        <v>0</v>
      </c>
      <c r="G52" s="76">
        <v>0</v>
      </c>
      <c r="H52" s="76"/>
      <c r="I52" s="76"/>
      <c r="J52" s="76"/>
      <c r="K52" s="76">
        <v>0</v>
      </c>
      <c r="L52" s="76"/>
      <c r="M52" s="76"/>
      <c r="N52" s="76"/>
      <c r="O52" s="186"/>
      <c r="P52" s="70"/>
      <c r="Q52" s="76"/>
      <c r="R52" s="70">
        <f>SUM(C52:P52)</f>
        <v>0</v>
      </c>
    </row>
    <row r="53" spans="1:18" ht="14.25">
      <c r="A53" s="124" t="s">
        <v>281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187"/>
      <c r="P53" s="71"/>
      <c r="Q53" s="78"/>
      <c r="R53" s="86"/>
    </row>
    <row r="54" spans="1:18" ht="14.25">
      <c r="A54" s="90" t="s">
        <v>36</v>
      </c>
      <c r="B54" s="61"/>
      <c r="C54" s="79">
        <f>SUM(C49:C53)</f>
        <v>0</v>
      </c>
      <c r="D54" s="61">
        <v>0</v>
      </c>
      <c r="E54" s="61">
        <f>SUM(E49:E53)</f>
        <v>0</v>
      </c>
      <c r="F54" s="61">
        <v>0</v>
      </c>
      <c r="G54" s="61">
        <f>SUM(G49:G53)</f>
        <v>0</v>
      </c>
      <c r="H54" s="61">
        <v>0</v>
      </c>
      <c r="I54" s="61">
        <f>SUM(I49)</f>
        <v>0</v>
      </c>
      <c r="J54" s="61">
        <v>0</v>
      </c>
      <c r="K54" s="61">
        <f>SUM(K49:K53)</f>
        <v>0</v>
      </c>
      <c r="L54" s="61">
        <f>SUM(L49:L52)</f>
        <v>0</v>
      </c>
      <c r="M54" s="61"/>
      <c r="N54" s="61"/>
      <c r="O54" s="61">
        <v>0</v>
      </c>
      <c r="P54" s="61">
        <v>0</v>
      </c>
      <c r="Q54" s="61"/>
      <c r="R54" s="72">
        <f>SUM(R49:R53)</f>
        <v>0</v>
      </c>
    </row>
    <row r="55" spans="1:18" ht="15" thickBot="1">
      <c r="A55" s="91" t="s">
        <v>37</v>
      </c>
      <c r="B55" s="93"/>
      <c r="C55" s="80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/>
      <c r="N55" s="93"/>
      <c r="O55" s="93">
        <v>0</v>
      </c>
      <c r="P55" s="61">
        <v>0</v>
      </c>
      <c r="Q55" s="93"/>
      <c r="R55" s="73">
        <f>SUM(C55:P55)</f>
        <v>0</v>
      </c>
    </row>
    <row r="56" spans="1:18" ht="15" thickTop="1">
      <c r="A56" s="94" t="s">
        <v>282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84"/>
      <c r="Q56" s="83"/>
      <c r="R56" s="84"/>
    </row>
    <row r="57" spans="1:18" ht="14.25">
      <c r="A57" s="94" t="s">
        <v>283</v>
      </c>
      <c r="B57" s="215" t="s">
        <v>395</v>
      </c>
      <c r="C57" s="82">
        <v>0</v>
      </c>
      <c r="D57" s="82"/>
      <c r="E57" s="82">
        <v>0</v>
      </c>
      <c r="F57" s="82"/>
      <c r="G57" s="82">
        <v>0</v>
      </c>
      <c r="H57" s="82"/>
      <c r="I57" s="82"/>
      <c r="J57" s="82"/>
      <c r="K57" s="82"/>
      <c r="L57" s="82"/>
      <c r="M57" s="82"/>
      <c r="N57" s="82"/>
      <c r="O57" s="82"/>
      <c r="P57" s="83">
        <v>0</v>
      </c>
      <c r="Q57" s="82"/>
      <c r="R57" s="83">
        <f>SUM(C57:P57)</f>
        <v>0</v>
      </c>
    </row>
    <row r="58" spans="1:18" ht="14.25">
      <c r="A58" s="90" t="s">
        <v>284</v>
      </c>
      <c r="B58" s="76"/>
      <c r="C58" s="76">
        <v>0</v>
      </c>
      <c r="D58" s="76"/>
      <c r="E58" s="76" t="s">
        <v>401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0"/>
      <c r="Q58" s="76"/>
      <c r="R58" s="70">
        <f>SUM(C58:Q58)</f>
        <v>0</v>
      </c>
    </row>
    <row r="59" spans="1:18" ht="14.25">
      <c r="A59" s="94" t="s">
        <v>285</v>
      </c>
      <c r="B59" s="76"/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63700</v>
      </c>
      <c r="I59" s="76"/>
      <c r="J59" s="76">
        <v>0</v>
      </c>
      <c r="K59" s="76">
        <v>0</v>
      </c>
      <c r="L59" s="76"/>
      <c r="M59" s="76">
        <v>0</v>
      </c>
      <c r="N59" s="76">
        <v>0</v>
      </c>
      <c r="O59" s="76">
        <v>0</v>
      </c>
      <c r="P59" s="70">
        <v>0</v>
      </c>
      <c r="Q59" s="76"/>
      <c r="R59" s="70">
        <f>SUM(C59:Q59)</f>
        <v>63700</v>
      </c>
    </row>
    <row r="60" spans="1:18" ht="14.25">
      <c r="A60" s="94" t="s">
        <v>286</v>
      </c>
      <c r="B60" s="76"/>
      <c r="C60" s="76">
        <v>0</v>
      </c>
      <c r="D60" s="76"/>
      <c r="E60" s="76">
        <v>0</v>
      </c>
      <c r="F60" s="76"/>
      <c r="G60" s="76">
        <v>0</v>
      </c>
      <c r="H60" s="76">
        <v>0</v>
      </c>
      <c r="I60" s="76"/>
      <c r="J60" s="76"/>
      <c r="K60" s="76">
        <v>0</v>
      </c>
      <c r="L60" s="76"/>
      <c r="M60" s="76"/>
      <c r="N60" s="76"/>
      <c r="O60" s="76"/>
      <c r="P60" s="70"/>
      <c r="Q60" s="76"/>
      <c r="R60" s="70">
        <f>SUM(C60:Q60)</f>
        <v>0</v>
      </c>
    </row>
    <row r="61" spans="1:18" ht="14.25">
      <c r="A61" s="90" t="s">
        <v>36</v>
      </c>
      <c r="B61" s="61"/>
      <c r="C61" s="79">
        <f>SUM(C57:C60)</f>
        <v>0</v>
      </c>
      <c r="D61" s="61">
        <f>SUM(D59:D60)</f>
        <v>0</v>
      </c>
      <c r="E61" s="61">
        <f>SUM(E59:E60)</f>
        <v>0</v>
      </c>
      <c r="F61" s="61">
        <v>0</v>
      </c>
      <c r="G61" s="61">
        <v>0</v>
      </c>
      <c r="H61" s="61">
        <f>SUM(H59:H60)</f>
        <v>63700</v>
      </c>
      <c r="I61" s="61">
        <v>0</v>
      </c>
      <c r="J61" s="61">
        <f>SUM(J59)</f>
        <v>0</v>
      </c>
      <c r="K61" s="61">
        <f>SUM(K59:K60)</f>
        <v>0</v>
      </c>
      <c r="L61" s="61">
        <v>0</v>
      </c>
      <c r="M61" s="61">
        <v>0</v>
      </c>
      <c r="N61" s="61">
        <v>0</v>
      </c>
      <c r="O61" s="61">
        <f>SUM(O59)</f>
        <v>0</v>
      </c>
      <c r="P61" s="61">
        <f>SUM(P57:P60)</f>
        <v>0</v>
      </c>
      <c r="Q61" s="61"/>
      <c r="R61" s="72">
        <f>SUM(C61:P61)</f>
        <v>63700</v>
      </c>
    </row>
    <row r="62" spans="1:18" ht="15" thickBot="1">
      <c r="A62" s="91" t="s">
        <v>37</v>
      </c>
      <c r="B62" s="93"/>
      <c r="C62" s="80">
        <v>0</v>
      </c>
      <c r="D62" s="93">
        <v>0</v>
      </c>
      <c r="E62" s="93">
        <v>0</v>
      </c>
      <c r="F62" s="93">
        <v>0</v>
      </c>
      <c r="G62" s="93">
        <v>0</v>
      </c>
      <c r="H62" s="93">
        <f>63700</f>
        <v>63700</v>
      </c>
      <c r="I62" s="93">
        <v>0</v>
      </c>
      <c r="J62" s="93">
        <v>0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/>
      <c r="R62" s="73">
        <f>SUM(C62:Q62)</f>
        <v>63700</v>
      </c>
    </row>
    <row r="63" spans="1:18" ht="15" thickTop="1">
      <c r="A63" s="94" t="s">
        <v>287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3"/>
      <c r="P63" s="84"/>
      <c r="Q63" s="83"/>
      <c r="R63" s="84"/>
    </row>
    <row r="64" spans="1:18" ht="14.25">
      <c r="A64" s="94" t="s">
        <v>288</v>
      </c>
      <c r="B64" s="82"/>
      <c r="C64" s="82">
        <v>0</v>
      </c>
      <c r="D64" s="82"/>
      <c r="E64" s="82">
        <v>0</v>
      </c>
      <c r="F64" s="82"/>
      <c r="G64" s="82">
        <v>0</v>
      </c>
      <c r="H64" s="82"/>
      <c r="I64" s="82"/>
      <c r="J64" s="82"/>
      <c r="K64" s="82"/>
      <c r="L64" s="82"/>
      <c r="M64" s="82"/>
      <c r="N64" s="82"/>
      <c r="O64" s="82"/>
      <c r="P64" s="83"/>
      <c r="Q64" s="82"/>
      <c r="R64" s="83">
        <f>SUM(C64:P64)</f>
        <v>0</v>
      </c>
    </row>
    <row r="65" spans="1:18" ht="14.25">
      <c r="A65" s="90" t="s">
        <v>289</v>
      </c>
      <c r="B65" s="76"/>
      <c r="C65" s="76">
        <v>0</v>
      </c>
      <c r="D65" s="76"/>
      <c r="E65" s="76"/>
      <c r="F65" s="76"/>
      <c r="G65" s="76">
        <v>0</v>
      </c>
      <c r="H65" s="76"/>
      <c r="I65" s="76"/>
      <c r="J65" s="76"/>
      <c r="K65" s="76"/>
      <c r="L65" s="76"/>
      <c r="M65" s="76"/>
      <c r="N65" s="76"/>
      <c r="O65" s="76"/>
      <c r="P65" s="70"/>
      <c r="Q65" s="76"/>
      <c r="R65" s="70"/>
    </row>
    <row r="66" spans="1:18" ht="14.25">
      <c r="A66" s="94" t="s">
        <v>290</v>
      </c>
      <c r="B66" s="76"/>
      <c r="C66" s="76"/>
      <c r="D66" s="76"/>
      <c r="E66" s="76">
        <v>0</v>
      </c>
      <c r="F66" s="76"/>
      <c r="G66" s="76">
        <v>0</v>
      </c>
      <c r="H66" s="76">
        <v>0</v>
      </c>
      <c r="I66" s="76"/>
      <c r="J66" s="76" t="s">
        <v>253</v>
      </c>
      <c r="K66" s="76"/>
      <c r="L66" s="76"/>
      <c r="M66" s="76"/>
      <c r="N66" s="76"/>
      <c r="O66" s="76"/>
      <c r="P66" s="70"/>
      <c r="Q66" s="76"/>
      <c r="R66" s="70">
        <f>SUM(C66:P66)</f>
        <v>0</v>
      </c>
    </row>
    <row r="67" spans="1:18" ht="14.25">
      <c r="A67" s="94" t="s">
        <v>291</v>
      </c>
      <c r="B67" s="76"/>
      <c r="C67" s="76"/>
      <c r="D67" s="76"/>
      <c r="E67" s="76"/>
      <c r="F67" s="76"/>
      <c r="G67" s="76"/>
      <c r="H67" s="76">
        <v>0</v>
      </c>
      <c r="I67" s="76"/>
      <c r="J67" s="76"/>
      <c r="K67" s="76"/>
      <c r="L67" s="76"/>
      <c r="M67" s="76"/>
      <c r="N67" s="76"/>
      <c r="O67" s="76"/>
      <c r="P67" s="70"/>
      <c r="Q67" s="76"/>
      <c r="R67" s="70">
        <f>SUM(H67:Q67)</f>
        <v>0</v>
      </c>
    </row>
    <row r="68" spans="1:18" ht="14.25">
      <c r="A68" s="94" t="s">
        <v>292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0"/>
      <c r="Q68" s="76"/>
      <c r="R68" s="70"/>
    </row>
    <row r="69" spans="1:18" ht="14.25">
      <c r="A69" s="94" t="s">
        <v>293</v>
      </c>
      <c r="B69" s="76"/>
      <c r="C69" s="76"/>
      <c r="D69" s="76"/>
      <c r="E69" s="76"/>
      <c r="F69" s="76"/>
      <c r="G69" s="76"/>
      <c r="H69" s="76"/>
      <c r="I69" s="76"/>
      <c r="J69" s="76"/>
      <c r="K69" s="76">
        <v>0</v>
      </c>
      <c r="L69" s="76"/>
      <c r="M69" s="76"/>
      <c r="N69" s="76"/>
      <c r="O69" s="76"/>
      <c r="P69" s="70"/>
      <c r="Q69" s="76"/>
      <c r="R69" s="70">
        <f>SUM(K69:Q69)</f>
        <v>0</v>
      </c>
    </row>
    <row r="70" spans="1:18" ht="14.25">
      <c r="A70" s="94" t="s">
        <v>294</v>
      </c>
      <c r="B70" s="76"/>
      <c r="C70" s="76">
        <v>0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0"/>
      <c r="Q70" s="76"/>
      <c r="R70" s="70">
        <f>SUM(C70:Q70)</f>
        <v>0</v>
      </c>
    </row>
    <row r="71" spans="1:18" ht="14.25">
      <c r="A71" s="94" t="s">
        <v>295</v>
      </c>
      <c r="B71" s="76"/>
      <c r="C71" s="76">
        <v>0</v>
      </c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0"/>
      <c r="Q71" s="76"/>
      <c r="R71" s="70">
        <f>SUM(C71:Q71)</f>
        <v>0</v>
      </c>
    </row>
    <row r="72" spans="1:18" ht="14.25">
      <c r="A72" s="94" t="s">
        <v>296</v>
      </c>
      <c r="B72" s="76"/>
      <c r="C72" s="76">
        <v>0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0"/>
      <c r="Q72" s="76"/>
      <c r="R72" s="70">
        <f>SUM(C72)</f>
        <v>0</v>
      </c>
    </row>
    <row r="73" spans="1:18" ht="14.25">
      <c r="A73" s="94" t="s">
        <v>297</v>
      </c>
      <c r="B73" s="76"/>
      <c r="C73" s="76">
        <v>0</v>
      </c>
      <c r="D73" s="76"/>
      <c r="E73" s="76">
        <v>0</v>
      </c>
      <c r="F73" s="76"/>
      <c r="G73" s="76">
        <v>0</v>
      </c>
      <c r="H73" s="76"/>
      <c r="I73" s="76"/>
      <c r="J73" s="76"/>
      <c r="K73" s="76">
        <v>0</v>
      </c>
      <c r="L73" s="76"/>
      <c r="M73" s="76"/>
      <c r="N73" s="76"/>
      <c r="O73" s="76"/>
      <c r="P73" s="70"/>
      <c r="Q73" s="76"/>
      <c r="R73" s="70">
        <f>SUM(C73:Q73)</f>
        <v>0</v>
      </c>
    </row>
    <row r="74" spans="1:18" ht="14.25">
      <c r="A74" s="94" t="s">
        <v>298</v>
      </c>
      <c r="B74" s="76"/>
      <c r="C74" s="76"/>
      <c r="D74" s="76"/>
      <c r="E74" s="76"/>
      <c r="F74" s="76"/>
      <c r="G74" s="76">
        <v>0</v>
      </c>
      <c r="H74" s="76">
        <v>0</v>
      </c>
      <c r="I74" s="76"/>
      <c r="J74" s="76"/>
      <c r="K74" s="76"/>
      <c r="L74" s="76"/>
      <c r="M74" s="76"/>
      <c r="N74" s="76"/>
      <c r="O74" s="76"/>
      <c r="P74" s="70"/>
      <c r="Q74" s="76"/>
      <c r="R74" s="70">
        <f>SUM(G74)</f>
        <v>0</v>
      </c>
    </row>
    <row r="75" spans="1:18" ht="14.25">
      <c r="A75" s="94" t="s">
        <v>299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0"/>
      <c r="Q75" s="76"/>
      <c r="R75" s="70"/>
    </row>
    <row r="76" spans="1:18" ht="14.25">
      <c r="A76" s="90" t="s">
        <v>36</v>
      </c>
      <c r="B76" s="61"/>
      <c r="C76" s="79">
        <f>SUM(C64:C75)</f>
        <v>0</v>
      </c>
      <c r="D76" s="61">
        <f>SUM(D66:D75)</f>
        <v>0</v>
      </c>
      <c r="E76" s="61">
        <f>SUM(E64:E75)</f>
        <v>0</v>
      </c>
      <c r="F76" s="61">
        <v>0</v>
      </c>
      <c r="G76" s="61">
        <f>SUM(G64:G75)</f>
        <v>0</v>
      </c>
      <c r="H76" s="61">
        <f>SUM(H64:H75)</f>
        <v>0</v>
      </c>
      <c r="I76" s="61">
        <v>0</v>
      </c>
      <c r="J76" s="61">
        <v>0</v>
      </c>
      <c r="K76" s="61">
        <f>SUM(K65:K75)</f>
        <v>0</v>
      </c>
      <c r="L76" s="61">
        <v>0</v>
      </c>
      <c r="M76" s="61"/>
      <c r="N76" s="61"/>
      <c r="O76" s="61">
        <v>0</v>
      </c>
      <c r="P76" s="61">
        <v>0</v>
      </c>
      <c r="Q76" s="61"/>
      <c r="R76" s="72">
        <f>SUM(R64:R75)</f>
        <v>0</v>
      </c>
    </row>
    <row r="77" spans="1:18" ht="15" thickBot="1">
      <c r="A77" s="91" t="s">
        <v>37</v>
      </c>
      <c r="B77" s="93"/>
      <c r="C77" s="80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/>
      <c r="N77" s="93"/>
      <c r="O77" s="93">
        <v>0</v>
      </c>
      <c r="P77" s="93">
        <v>0</v>
      </c>
      <c r="Q77" s="93"/>
      <c r="R77" s="73">
        <f>SUM(C77:Q77)</f>
        <v>0</v>
      </c>
    </row>
    <row r="78" ht="15" thickTop="1"/>
    <row r="81" spans="1:18" s="64" customFormat="1" ht="13.5" customHeight="1">
      <c r="A81" s="65" t="s">
        <v>115</v>
      </c>
      <c r="B81" s="349" t="s">
        <v>92</v>
      </c>
      <c r="C81" s="350" t="s">
        <v>93</v>
      </c>
      <c r="D81" s="350"/>
      <c r="E81" s="350"/>
      <c r="F81" s="87" t="s">
        <v>94</v>
      </c>
      <c r="G81" s="350" t="s">
        <v>95</v>
      </c>
      <c r="H81" s="350"/>
      <c r="I81" s="350" t="s">
        <v>96</v>
      </c>
      <c r="J81" s="350"/>
      <c r="K81" s="350" t="s">
        <v>98</v>
      </c>
      <c r="L81" s="350"/>
      <c r="M81" s="351" t="s">
        <v>392</v>
      </c>
      <c r="N81" s="352"/>
      <c r="O81" s="350" t="s">
        <v>99</v>
      </c>
      <c r="P81" s="350"/>
      <c r="Q81" s="280" t="s">
        <v>113</v>
      </c>
      <c r="R81" s="353" t="s">
        <v>19</v>
      </c>
    </row>
    <row r="82" spans="1:18" s="64" customFormat="1" ht="13.5" customHeight="1">
      <c r="A82" s="66" t="s">
        <v>116</v>
      </c>
      <c r="B82" s="349"/>
      <c r="C82" s="87" t="s">
        <v>100</v>
      </c>
      <c r="D82" s="87" t="s">
        <v>111</v>
      </c>
      <c r="E82" s="87" t="s">
        <v>101</v>
      </c>
      <c r="F82" s="87" t="s">
        <v>102</v>
      </c>
      <c r="G82" s="87" t="s">
        <v>103</v>
      </c>
      <c r="H82" s="87" t="s">
        <v>104</v>
      </c>
      <c r="I82" s="87" t="s">
        <v>105</v>
      </c>
      <c r="J82" s="87" t="s">
        <v>106</v>
      </c>
      <c r="K82" s="87" t="s">
        <v>107</v>
      </c>
      <c r="L82" s="87" t="s">
        <v>108</v>
      </c>
      <c r="M82" s="87" t="s">
        <v>467</v>
      </c>
      <c r="N82" s="87" t="s">
        <v>391</v>
      </c>
      <c r="O82" s="87" t="s">
        <v>109</v>
      </c>
      <c r="P82" s="87" t="s">
        <v>110</v>
      </c>
      <c r="Q82" s="192" t="s">
        <v>114</v>
      </c>
      <c r="R82" s="354"/>
    </row>
    <row r="83" spans="1:18" ht="13.5" customHeight="1">
      <c r="A83" s="92" t="s">
        <v>300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1:18" ht="13.5" customHeight="1">
      <c r="A84" s="94" t="s">
        <v>301</v>
      </c>
      <c r="B84" s="67"/>
      <c r="C84" s="67">
        <v>0</v>
      </c>
      <c r="D84" s="67"/>
      <c r="E84" s="67"/>
      <c r="F84" s="67"/>
      <c r="G84" s="67">
        <v>0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>
        <f>SUM(C84:P84)</f>
        <v>0</v>
      </c>
    </row>
    <row r="85" spans="1:18" ht="13.5" customHeight="1">
      <c r="A85" s="90" t="s">
        <v>302</v>
      </c>
      <c r="B85" s="70"/>
      <c r="C85" s="70">
        <v>0</v>
      </c>
      <c r="D85" s="70"/>
      <c r="E85" s="70"/>
      <c r="F85" s="70"/>
      <c r="G85" s="70">
        <v>0</v>
      </c>
      <c r="H85" s="70"/>
      <c r="I85" s="70" t="s">
        <v>253</v>
      </c>
      <c r="J85" s="70"/>
      <c r="K85" s="70"/>
      <c r="L85" s="70"/>
      <c r="M85" s="70"/>
      <c r="N85" s="70"/>
      <c r="O85" s="70"/>
      <c r="P85" s="70"/>
      <c r="Q85" s="70"/>
      <c r="R85" s="70">
        <f>SUM(C85:P85)</f>
        <v>0</v>
      </c>
    </row>
    <row r="86" spans="1:18" ht="13.5" customHeight="1">
      <c r="A86" s="90" t="s">
        <v>303</v>
      </c>
      <c r="B86" s="70"/>
      <c r="C86" s="70">
        <v>0</v>
      </c>
      <c r="D86" s="70"/>
      <c r="E86" s="70"/>
      <c r="F86" s="70"/>
      <c r="G86" s="70">
        <v>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>
        <f>SUM(C86:P86)</f>
        <v>0</v>
      </c>
    </row>
    <row r="87" spans="1:18" ht="13.5" customHeight="1">
      <c r="A87" s="89" t="s">
        <v>304</v>
      </c>
      <c r="B87" s="70"/>
      <c r="C87" s="70"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>
        <f>SUM(C87)</f>
        <v>0</v>
      </c>
    </row>
    <row r="88" spans="1:18" ht="13.5" customHeight="1">
      <c r="A88" s="90" t="s">
        <v>305</v>
      </c>
      <c r="B88" s="71"/>
      <c r="C88" s="71">
        <v>0</v>
      </c>
      <c r="D88" s="71"/>
      <c r="E88" s="71"/>
      <c r="F88" s="71"/>
      <c r="G88" s="71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>
        <f>SUM(C88:P88)</f>
        <v>0</v>
      </c>
    </row>
    <row r="89" spans="1:18" ht="13.5" customHeight="1">
      <c r="A89" s="90" t="s">
        <v>36</v>
      </c>
      <c r="B89" s="61"/>
      <c r="C89" s="61">
        <f>SUM(C84:C88)</f>
        <v>0</v>
      </c>
      <c r="D89" s="61">
        <v>0</v>
      </c>
      <c r="E89" s="61">
        <v>0</v>
      </c>
      <c r="F89" s="61">
        <v>0</v>
      </c>
      <c r="G89" s="61">
        <f>SUM(G84:G88)</f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/>
      <c r="N89" s="61"/>
      <c r="O89" s="61">
        <v>0</v>
      </c>
      <c r="P89" s="61">
        <v>0</v>
      </c>
      <c r="Q89" s="61"/>
      <c r="R89" s="72">
        <f>SUM(R84:R88)</f>
        <v>0</v>
      </c>
    </row>
    <row r="90" spans="1:18" ht="13.5" customHeight="1" thickBot="1">
      <c r="A90" s="91" t="s">
        <v>37</v>
      </c>
      <c r="B90" s="61"/>
      <c r="C90" s="61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/>
      <c r="N90" s="61"/>
      <c r="O90" s="61">
        <v>0</v>
      </c>
      <c r="P90" s="61">
        <v>0</v>
      </c>
      <c r="Q90" s="190"/>
      <c r="R90" s="73">
        <f>SUM(C90:P90)</f>
        <v>0</v>
      </c>
    </row>
    <row r="91" spans="1:18" ht="13.5" customHeight="1" thickTop="1">
      <c r="A91" s="92" t="s">
        <v>306</v>
      </c>
      <c r="B91" s="74"/>
      <c r="C91" s="74"/>
      <c r="D91" s="74"/>
      <c r="E91" s="74"/>
      <c r="F91" s="74"/>
      <c r="G91" s="74"/>
      <c r="H91" s="74"/>
      <c r="I91" s="74"/>
      <c r="J91" s="84"/>
      <c r="K91" s="74"/>
      <c r="L91" s="74"/>
      <c r="M91" s="74"/>
      <c r="N91" s="74"/>
      <c r="O91" s="74"/>
      <c r="P91" s="75"/>
      <c r="Q91" s="74"/>
      <c r="R91" s="75"/>
    </row>
    <row r="92" spans="1:18" ht="13.5" customHeight="1">
      <c r="A92" s="90" t="s">
        <v>307</v>
      </c>
      <c r="B92" s="76"/>
      <c r="C92" s="76"/>
      <c r="D92" s="76"/>
      <c r="E92" s="76"/>
      <c r="F92" s="76"/>
      <c r="G92" s="76">
        <v>0</v>
      </c>
      <c r="H92" s="76"/>
      <c r="I92" s="76"/>
      <c r="J92" s="82"/>
      <c r="K92" s="76"/>
      <c r="L92" s="76"/>
      <c r="M92" s="76"/>
      <c r="N92" s="76"/>
      <c r="O92" s="76"/>
      <c r="P92" s="70"/>
      <c r="Q92" s="76"/>
      <c r="R92" s="70">
        <f>SUM(G92:Q92)</f>
        <v>0</v>
      </c>
    </row>
    <row r="93" spans="1:18" ht="13.5" customHeight="1">
      <c r="A93" s="90" t="s">
        <v>308</v>
      </c>
      <c r="B93" s="76"/>
      <c r="C93" s="76"/>
      <c r="D93" s="76"/>
      <c r="E93" s="76"/>
      <c r="F93" s="76"/>
      <c r="G93" s="76"/>
      <c r="H93" s="76"/>
      <c r="I93" s="76"/>
      <c r="J93" s="76"/>
      <c r="K93" s="76">
        <v>0</v>
      </c>
      <c r="L93" s="76"/>
      <c r="M93" s="76"/>
      <c r="N93" s="76"/>
      <c r="O93" s="76"/>
      <c r="P93" s="70"/>
      <c r="Q93" s="76"/>
      <c r="R93" s="70">
        <f>SUM(K93:Q93)</f>
        <v>0</v>
      </c>
    </row>
    <row r="94" spans="1:18" ht="13.5" customHeight="1">
      <c r="A94" s="90" t="s">
        <v>309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0"/>
      <c r="Q94" s="76"/>
      <c r="R94" s="70"/>
    </row>
    <row r="95" spans="1:18" ht="13.5" customHeight="1">
      <c r="A95" s="90" t="s">
        <v>310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0"/>
      <c r="Q95" s="76"/>
      <c r="R95" s="70"/>
    </row>
    <row r="96" spans="1:18" ht="13.5" customHeight="1">
      <c r="A96" s="90" t="s">
        <v>311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0"/>
      <c r="Q96" s="76"/>
      <c r="R96" s="70"/>
    </row>
    <row r="97" spans="1:18" ht="13.5" customHeight="1">
      <c r="A97" s="94" t="s">
        <v>312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  <c r="Q97" s="82"/>
      <c r="R97" s="83"/>
    </row>
    <row r="98" spans="1:18" ht="13.5" customHeight="1">
      <c r="A98" s="90" t="s">
        <v>313</v>
      </c>
      <c r="B98" s="76"/>
      <c r="C98" s="76"/>
      <c r="D98" s="76"/>
      <c r="E98" s="76"/>
      <c r="F98" s="76"/>
      <c r="G98" s="76"/>
      <c r="H98" s="76"/>
      <c r="I98" s="76"/>
      <c r="J98" s="76"/>
      <c r="K98" s="76">
        <v>0</v>
      </c>
      <c r="L98" s="76"/>
      <c r="M98" s="76"/>
      <c r="N98" s="76"/>
      <c r="O98" s="76"/>
      <c r="P98" s="70"/>
      <c r="Q98" s="76"/>
      <c r="R98" s="70">
        <f>SUM(K98)</f>
        <v>0</v>
      </c>
    </row>
    <row r="99" spans="1:18" ht="13.5" customHeight="1">
      <c r="A99" s="94" t="s">
        <v>314</v>
      </c>
      <c r="B99" s="77"/>
      <c r="C99" s="77">
        <v>0</v>
      </c>
      <c r="D99" s="77"/>
      <c r="E99" s="77"/>
      <c r="F99" s="77"/>
      <c r="G99" s="77">
        <v>0</v>
      </c>
      <c r="H99" s="151"/>
      <c r="I99" s="77">
        <v>0</v>
      </c>
      <c r="J99" s="77"/>
      <c r="K99" s="77">
        <v>0</v>
      </c>
      <c r="L99" s="77"/>
      <c r="M99" s="77"/>
      <c r="N99" s="77"/>
      <c r="O99" s="77"/>
      <c r="P99" s="67"/>
      <c r="Q99" s="77"/>
      <c r="R99" s="213">
        <f>SUM(C99+I99)</f>
        <v>0</v>
      </c>
    </row>
    <row r="100" spans="1:18" ht="13.5" customHeight="1">
      <c r="A100" s="90" t="s">
        <v>36</v>
      </c>
      <c r="B100" s="61"/>
      <c r="C100" s="61">
        <f>SUM(C99)</f>
        <v>0</v>
      </c>
      <c r="D100" s="61">
        <v>0</v>
      </c>
      <c r="E100" s="61">
        <v>0</v>
      </c>
      <c r="F100" s="61">
        <v>0</v>
      </c>
      <c r="G100" s="72">
        <f>SUM(G92)</f>
        <v>0</v>
      </c>
      <c r="H100" s="61">
        <v>0</v>
      </c>
      <c r="I100" s="61">
        <f>SUM(I99)</f>
        <v>0</v>
      </c>
      <c r="J100" s="61">
        <v>0</v>
      </c>
      <c r="K100" s="61">
        <f>SUM(K98:K99)</f>
        <v>0</v>
      </c>
      <c r="L100" s="61">
        <v>0</v>
      </c>
      <c r="M100" s="61"/>
      <c r="N100" s="61"/>
      <c r="O100" s="61">
        <v>0</v>
      </c>
      <c r="P100" s="61">
        <v>0</v>
      </c>
      <c r="Q100" s="61"/>
      <c r="R100" s="72">
        <f>SUM(R98:R99)</f>
        <v>0</v>
      </c>
    </row>
    <row r="101" spans="1:18" ht="13.5" customHeight="1" thickBot="1">
      <c r="A101" s="91" t="s">
        <v>37</v>
      </c>
      <c r="B101" s="93"/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/>
      <c r="N101" s="93"/>
      <c r="O101" s="93">
        <v>0</v>
      </c>
      <c r="P101" s="93">
        <v>0</v>
      </c>
      <c r="Q101" s="93"/>
      <c r="R101" s="73">
        <f>SUM(C101:Q101)</f>
        <v>0</v>
      </c>
    </row>
    <row r="102" spans="1:18" ht="13.5" customHeight="1" thickTop="1">
      <c r="A102" s="94" t="s">
        <v>315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3"/>
      <c r="P102" s="83"/>
      <c r="Q102" s="83"/>
      <c r="R102" s="84"/>
    </row>
    <row r="103" spans="1:18" ht="13.5" customHeight="1">
      <c r="A103" s="94" t="s">
        <v>316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  <c r="Q103" s="82"/>
      <c r="R103" s="83"/>
    </row>
    <row r="104" spans="1:18" ht="13.5" customHeight="1">
      <c r="A104" s="94" t="s">
        <v>317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/>
      <c r="Q104" s="82">
        <v>1110000</v>
      </c>
      <c r="R104" s="83">
        <f>SUM(Q104)</f>
        <v>1110000</v>
      </c>
    </row>
    <row r="105" spans="1:18" ht="13.5" customHeight="1">
      <c r="A105" s="90" t="s">
        <v>318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0"/>
      <c r="Q105" s="76">
        <v>0</v>
      </c>
      <c r="R105" s="70">
        <f>SUM(Q105)</f>
        <v>0</v>
      </c>
    </row>
    <row r="106" spans="1:18" ht="13.5" customHeight="1">
      <c r="A106" s="90" t="s">
        <v>36</v>
      </c>
      <c r="B106" s="61"/>
      <c r="C106" s="61">
        <f>SUM(C104:C105)</f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/>
      <c r="N106" s="61"/>
      <c r="O106" s="61">
        <v>0</v>
      </c>
      <c r="P106" s="61">
        <v>0</v>
      </c>
      <c r="Q106" s="61">
        <f>SUM(Q104:Q105)</f>
        <v>1110000</v>
      </c>
      <c r="R106" s="61">
        <f>SUM(D106:Q106)</f>
        <v>1110000</v>
      </c>
    </row>
    <row r="107" spans="1:18" ht="13.5" customHeight="1" thickBot="1">
      <c r="A107" s="91" t="s">
        <v>37</v>
      </c>
      <c r="B107" s="93"/>
      <c r="C107" s="93">
        <v>0</v>
      </c>
      <c r="D107" s="93">
        <v>0</v>
      </c>
      <c r="E107" s="93">
        <v>0</v>
      </c>
      <c r="F107" s="93">
        <v>0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/>
      <c r="N107" s="93"/>
      <c r="O107" s="93">
        <v>0</v>
      </c>
      <c r="P107" s="93">
        <v>0</v>
      </c>
      <c r="Q107" s="93">
        <f>1110000</f>
        <v>1110000</v>
      </c>
      <c r="R107" s="73">
        <f>SUM(Q107)</f>
        <v>1110000</v>
      </c>
    </row>
    <row r="108" spans="1:18" ht="13.5" customHeight="1" thickTop="1">
      <c r="A108" s="94" t="s">
        <v>319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3"/>
      <c r="M108" s="82"/>
      <c r="N108" s="82"/>
      <c r="O108" s="82"/>
      <c r="P108" s="84"/>
      <c r="Q108" s="82"/>
      <c r="R108" s="70"/>
    </row>
    <row r="109" spans="1:18" ht="13.5" customHeight="1">
      <c r="A109" s="94" t="s">
        <v>320</v>
      </c>
      <c r="B109" s="70"/>
      <c r="C109" s="76">
        <v>0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0"/>
      <c r="Q109" s="76"/>
      <c r="R109" s="70">
        <f>SUM(C109:Q109)</f>
        <v>0</v>
      </c>
    </row>
    <row r="110" spans="1:18" ht="13.5" customHeight="1">
      <c r="A110" s="94" t="s">
        <v>321</v>
      </c>
      <c r="B110" s="77"/>
      <c r="C110" s="76">
        <v>0</v>
      </c>
      <c r="D110" s="76"/>
      <c r="E110" s="76"/>
      <c r="F110" s="76"/>
      <c r="G110" s="76"/>
      <c r="H110" s="76">
        <v>0</v>
      </c>
      <c r="I110" s="76"/>
      <c r="J110" s="76"/>
      <c r="K110" s="76"/>
      <c r="L110" s="76">
        <v>0</v>
      </c>
      <c r="M110" s="76"/>
      <c r="N110" s="76"/>
      <c r="O110" s="76"/>
      <c r="P110" s="76">
        <v>0</v>
      </c>
      <c r="Q110" s="70"/>
      <c r="R110" s="70">
        <f>SUM(C110:P110)</f>
        <v>0</v>
      </c>
    </row>
    <row r="111" spans="1:18" ht="13.5" customHeight="1">
      <c r="A111" s="94" t="s">
        <v>390</v>
      </c>
      <c r="B111" s="77"/>
      <c r="C111" s="76"/>
      <c r="D111" s="76"/>
      <c r="E111" s="76"/>
      <c r="F111" s="76"/>
      <c r="G111" s="76"/>
      <c r="H111" s="76"/>
      <c r="I111" s="76">
        <v>0</v>
      </c>
      <c r="J111" s="76"/>
      <c r="K111" s="76"/>
      <c r="L111" s="76"/>
      <c r="M111" s="76"/>
      <c r="N111" s="76"/>
      <c r="O111" s="76"/>
      <c r="P111" s="76"/>
      <c r="Q111" s="70"/>
      <c r="R111" s="70"/>
    </row>
    <row r="112" spans="1:18" ht="13.5" customHeight="1">
      <c r="A112" s="90" t="s">
        <v>322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0"/>
      <c r="R112" s="70">
        <f>SUM(C112:P112)</f>
        <v>0</v>
      </c>
    </row>
    <row r="113" spans="1:18" ht="13.5" customHeight="1">
      <c r="A113" s="90" t="s">
        <v>36</v>
      </c>
      <c r="B113" s="61"/>
      <c r="C113" s="61">
        <f>SUM(C109:C112)</f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f>SUM(H110)</f>
        <v>0</v>
      </c>
      <c r="I113" s="61">
        <f>SUM(I111)</f>
        <v>0</v>
      </c>
      <c r="J113" s="61">
        <v>0</v>
      </c>
      <c r="K113" s="61">
        <v>0</v>
      </c>
      <c r="L113" s="61">
        <f>SUM(L108:L112)</f>
        <v>0</v>
      </c>
      <c r="M113" s="61"/>
      <c r="N113" s="61"/>
      <c r="O113" s="61">
        <f>SUM(O110:O112)</f>
        <v>0</v>
      </c>
      <c r="P113" s="61">
        <f>SUM(P110:P112)</f>
        <v>0</v>
      </c>
      <c r="Q113" s="61"/>
      <c r="R113" s="61">
        <f>SUM(C113:P113)</f>
        <v>0</v>
      </c>
    </row>
    <row r="114" spans="1:18" ht="13.5" customHeight="1" thickBot="1">
      <c r="A114" s="91" t="s">
        <v>37</v>
      </c>
      <c r="B114" s="93"/>
      <c r="C114" s="93">
        <v>0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  <c r="M114" s="93"/>
      <c r="N114" s="93"/>
      <c r="O114" s="93">
        <f>SUM(O112:O113)</f>
        <v>0</v>
      </c>
      <c r="P114" s="93">
        <v>0</v>
      </c>
      <c r="Q114" s="93"/>
      <c r="R114" s="93">
        <v>0</v>
      </c>
    </row>
    <row r="115" spans="1:18" ht="13.5" customHeight="1" thickTop="1">
      <c r="A115" s="94" t="s">
        <v>323</v>
      </c>
      <c r="B115" s="77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  <c r="Q115" s="82"/>
      <c r="R115" s="83"/>
    </row>
    <row r="116" spans="1:18" ht="13.5" customHeight="1">
      <c r="A116" s="94" t="s">
        <v>324</v>
      </c>
      <c r="B116" s="78"/>
      <c r="C116" s="77"/>
      <c r="D116" s="77">
        <v>0</v>
      </c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67"/>
      <c r="Q116" s="77"/>
      <c r="R116" s="67">
        <f>SUM(B116:P116)</f>
        <v>0</v>
      </c>
    </row>
    <row r="117" spans="1:18" ht="13.5" customHeight="1">
      <c r="A117" s="90" t="s">
        <v>36</v>
      </c>
      <c r="B117" s="61">
        <v>0</v>
      </c>
      <c r="C117" s="61">
        <v>0</v>
      </c>
      <c r="D117" s="61">
        <f>SUM(D116)</f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/>
      <c r="N117" s="61"/>
      <c r="O117" s="61">
        <v>0</v>
      </c>
      <c r="P117" s="61">
        <v>0</v>
      </c>
      <c r="Q117" s="61"/>
      <c r="R117" s="61">
        <f>SUM(B117:P117)</f>
        <v>0</v>
      </c>
    </row>
    <row r="118" spans="1:18" ht="13.5" customHeight="1" thickBot="1">
      <c r="A118" s="91" t="s">
        <v>37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/>
      <c r="N118" s="93"/>
      <c r="O118" s="93">
        <v>0</v>
      </c>
      <c r="P118" s="93">
        <v>0</v>
      </c>
      <c r="Q118" s="93"/>
      <c r="R118" s="93">
        <f>SUM(B118:P118)</f>
        <v>0</v>
      </c>
    </row>
    <row r="119" spans="1:18" ht="13.5" customHeight="1" thickTop="1">
      <c r="A119" s="90" t="s">
        <v>36</v>
      </c>
      <c r="B119" s="72">
        <f>SUM(B13)</f>
        <v>735800</v>
      </c>
      <c r="C119" s="61">
        <f>SUM(C22+C28+C33+C46+C54+C61+C76+C89+C100+C106++C113)</f>
        <v>0</v>
      </c>
      <c r="D119" s="150">
        <f>SUM(D118)</f>
        <v>0</v>
      </c>
      <c r="E119" s="150">
        <f>SUM(E22+E28+E33+E46+E54+E61+E76+E89+E100+E106+E113)</f>
        <v>0</v>
      </c>
      <c r="F119" s="150">
        <f>SUM(F61)</f>
        <v>0</v>
      </c>
      <c r="G119" s="150">
        <f>SUM(G28+G46+G54+G61+G76+G89+G100+G106+G113)</f>
        <v>0</v>
      </c>
      <c r="H119" s="150">
        <f>SUM(H28+H46+H61)</f>
        <v>90270</v>
      </c>
      <c r="I119" s="150">
        <f>SUM(I46+I54+I61+I76+I89+I100+I106+I113)</f>
        <v>0</v>
      </c>
      <c r="J119" s="150">
        <f>SUM(J46+J54+J61+J76+J89+J100+J106+J113)</f>
        <v>0</v>
      </c>
      <c r="K119" s="150">
        <f>SUM(K28+K33+K46+K54+K61+K76+K89+K100+K106+K113)</f>
        <v>0</v>
      </c>
      <c r="L119" s="150">
        <f>SUM(L113)</f>
        <v>0</v>
      </c>
      <c r="M119" s="150">
        <f>SUM(M61)</f>
        <v>0</v>
      </c>
      <c r="N119" s="150">
        <f>SUM(N61)</f>
        <v>0</v>
      </c>
      <c r="O119" s="150">
        <f>SUM(O61)</f>
        <v>0</v>
      </c>
      <c r="P119" s="150">
        <f>SUM(P13+P22+P28+P33+P46+P54+P61+P76+P89+P100+P106+P113)</f>
        <v>0</v>
      </c>
      <c r="Q119" s="150">
        <f>SUM(Q106)</f>
        <v>1110000</v>
      </c>
      <c r="R119" s="72">
        <f>SUM(B119:Q119)</f>
        <v>1936070</v>
      </c>
    </row>
    <row r="120" spans="1:18" ht="13.5" customHeight="1" thickBot="1">
      <c r="A120" s="91" t="s">
        <v>37</v>
      </c>
      <c r="B120" s="73">
        <f>760350+757300+753000+749850+744500+742200+739300+735800</f>
        <v>5982300</v>
      </c>
      <c r="C120" s="93">
        <v>0</v>
      </c>
      <c r="D120" s="93">
        <v>0</v>
      </c>
      <c r="E120" s="93">
        <v>0</v>
      </c>
      <c r="F120" s="93">
        <v>0</v>
      </c>
      <c r="G120" s="93">
        <v>0</v>
      </c>
      <c r="H120" s="93">
        <f>25570+25810+26190+27190+26190+26190+26570+90270</f>
        <v>273980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93">
        <v>0</v>
      </c>
      <c r="Q120" s="93">
        <f>1110000</f>
        <v>1110000</v>
      </c>
      <c r="R120" s="73">
        <f>SUM(B120:Q120)</f>
        <v>7366280</v>
      </c>
    </row>
    <row r="121" ht="15" thickTop="1"/>
  </sheetData>
  <sheetProtection/>
  <mergeCells count="28">
    <mergeCell ref="O81:P81"/>
    <mergeCell ref="R81:R82"/>
    <mergeCell ref="B81:B82"/>
    <mergeCell ref="C81:E81"/>
    <mergeCell ref="G81:H81"/>
    <mergeCell ref="I81:J81"/>
    <mergeCell ref="K81:L81"/>
    <mergeCell ref="M81:N81"/>
    <mergeCell ref="O5:P5"/>
    <mergeCell ref="R5:R6"/>
    <mergeCell ref="B41:B42"/>
    <mergeCell ref="C41:E41"/>
    <mergeCell ref="G41:H41"/>
    <mergeCell ref="I41:J41"/>
    <mergeCell ref="K41:L41"/>
    <mergeCell ref="M41:N41"/>
    <mergeCell ref="O41:P41"/>
    <mergeCell ref="R41:R42"/>
    <mergeCell ref="C4:R4"/>
    <mergeCell ref="A1:R1"/>
    <mergeCell ref="A2:R2"/>
    <mergeCell ref="A3:R3"/>
    <mergeCell ref="B5:B6"/>
    <mergeCell ref="C5:E5"/>
    <mergeCell ref="G5:H5"/>
    <mergeCell ref="I5:J5"/>
    <mergeCell ref="K5:L5"/>
    <mergeCell ref="M5:N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7">
      <selection activeCell="D31" sqref="D31"/>
    </sheetView>
  </sheetViews>
  <sheetFormatPr defaultColWidth="9.140625" defaultRowHeight="12.75"/>
  <cols>
    <col min="1" max="1" width="6.421875" style="22" customWidth="1"/>
    <col min="2" max="2" width="11.140625" style="22" customWidth="1"/>
    <col min="3" max="3" width="11.57421875" style="178" customWidth="1"/>
    <col min="4" max="4" width="45.8515625" style="22" customWidth="1"/>
    <col min="5" max="5" width="15.8515625" style="179" customWidth="1"/>
    <col min="6" max="16384" width="9.140625" style="22" customWidth="1"/>
  </cols>
  <sheetData>
    <row r="1" spans="1:5" ht="21">
      <c r="A1" s="297" t="s">
        <v>546</v>
      </c>
      <c r="B1" s="297"/>
      <c r="C1" s="297"/>
      <c r="D1" s="297"/>
      <c r="E1" s="297"/>
    </row>
    <row r="2" spans="1:5" ht="21">
      <c r="A2" s="297" t="s">
        <v>248</v>
      </c>
      <c r="B2" s="297"/>
      <c r="C2" s="297"/>
      <c r="D2" s="297"/>
      <c r="E2" s="297"/>
    </row>
    <row r="3" spans="1:8" ht="21">
      <c r="A3" s="171" t="s">
        <v>136</v>
      </c>
      <c r="B3" s="171" t="s">
        <v>137</v>
      </c>
      <c r="C3" s="172" t="s">
        <v>138</v>
      </c>
      <c r="D3" s="171" t="s">
        <v>139</v>
      </c>
      <c r="E3" s="173" t="s">
        <v>140</v>
      </c>
      <c r="H3" s="22" t="s">
        <v>393</v>
      </c>
    </row>
    <row r="4" spans="1:5" ht="21">
      <c r="A4" s="174">
        <v>1</v>
      </c>
      <c r="B4" s="202">
        <v>21549</v>
      </c>
      <c r="C4" s="175" t="s">
        <v>520</v>
      </c>
      <c r="D4" s="174" t="s">
        <v>400</v>
      </c>
      <c r="E4" s="176">
        <v>50000</v>
      </c>
    </row>
    <row r="5" spans="1:5" ht="21">
      <c r="A5" s="174">
        <v>2</v>
      </c>
      <c r="B5" s="202">
        <v>21585</v>
      </c>
      <c r="C5" s="175" t="s">
        <v>530</v>
      </c>
      <c r="D5" s="174" t="s">
        <v>400</v>
      </c>
      <c r="E5" s="176">
        <v>50000</v>
      </c>
    </row>
    <row r="6" spans="1:5" ht="21">
      <c r="A6" s="174">
        <v>3</v>
      </c>
      <c r="B6" s="202">
        <v>21351</v>
      </c>
      <c r="C6" s="175" t="s">
        <v>517</v>
      </c>
      <c r="D6" s="174" t="s">
        <v>221</v>
      </c>
      <c r="E6" s="176">
        <v>16000</v>
      </c>
    </row>
    <row r="7" spans="1:5" ht="21">
      <c r="A7" s="174">
        <v>4</v>
      </c>
      <c r="B7" s="202">
        <v>21449</v>
      </c>
      <c r="C7" s="175" t="s">
        <v>452</v>
      </c>
      <c r="D7" s="174" t="s">
        <v>222</v>
      </c>
      <c r="E7" s="176">
        <v>44000</v>
      </c>
    </row>
    <row r="8" spans="1:5" ht="21">
      <c r="A8" s="174">
        <v>5</v>
      </c>
      <c r="B8" s="202">
        <v>21541</v>
      </c>
      <c r="C8" s="175" t="s">
        <v>518</v>
      </c>
      <c r="D8" s="174" t="s">
        <v>519</v>
      </c>
      <c r="E8" s="176">
        <v>40000</v>
      </c>
    </row>
    <row r="9" spans="1:5" ht="21">
      <c r="A9" s="174">
        <v>6</v>
      </c>
      <c r="B9" s="202">
        <v>21541</v>
      </c>
      <c r="C9" s="175" t="s">
        <v>515</v>
      </c>
      <c r="D9" s="174" t="s">
        <v>516</v>
      </c>
      <c r="E9" s="176">
        <v>76000</v>
      </c>
    </row>
    <row r="10" spans="1:5" ht="21">
      <c r="A10" s="174">
        <v>7</v>
      </c>
      <c r="B10" s="202">
        <v>21478</v>
      </c>
      <c r="C10" s="175" t="s">
        <v>470</v>
      </c>
      <c r="D10" s="174" t="s">
        <v>367</v>
      </c>
      <c r="E10" s="176">
        <v>24000</v>
      </c>
    </row>
    <row r="11" spans="1:5" ht="21">
      <c r="A11" s="174">
        <v>8</v>
      </c>
      <c r="B11" s="202">
        <v>21465</v>
      </c>
      <c r="C11" s="175" t="s">
        <v>472</v>
      </c>
      <c r="D11" s="174" t="s">
        <v>473</v>
      </c>
      <c r="E11" s="176">
        <v>30000</v>
      </c>
    </row>
    <row r="12" spans="1:5" ht="21">
      <c r="A12" s="174">
        <v>9</v>
      </c>
      <c r="B12" s="202">
        <v>240493</v>
      </c>
      <c r="C12" s="175" t="s">
        <v>440</v>
      </c>
      <c r="D12" s="174" t="s">
        <v>223</v>
      </c>
      <c r="E12" s="176">
        <v>30000</v>
      </c>
    </row>
    <row r="13" spans="1:5" ht="21">
      <c r="A13" s="174">
        <v>10</v>
      </c>
      <c r="B13" s="202">
        <v>21442</v>
      </c>
      <c r="C13" s="175" t="s">
        <v>453</v>
      </c>
      <c r="D13" s="174" t="s">
        <v>454</v>
      </c>
      <c r="E13" s="176">
        <v>40000</v>
      </c>
    </row>
    <row r="14" spans="1:5" ht="21">
      <c r="A14" s="174">
        <v>11</v>
      </c>
      <c r="B14" s="202">
        <v>21522</v>
      </c>
      <c r="C14" s="175" t="s">
        <v>507</v>
      </c>
      <c r="D14" s="174" t="s">
        <v>508</v>
      </c>
      <c r="E14" s="176">
        <v>100000</v>
      </c>
    </row>
    <row r="15" spans="1:5" ht="21">
      <c r="A15" s="174">
        <v>12</v>
      </c>
      <c r="B15" s="202">
        <v>20871</v>
      </c>
      <c r="C15" s="175" t="s">
        <v>362</v>
      </c>
      <c r="D15" s="174" t="s">
        <v>224</v>
      </c>
      <c r="E15" s="176">
        <v>40000</v>
      </c>
    </row>
    <row r="16" spans="1:5" ht="21">
      <c r="A16" s="174">
        <v>13</v>
      </c>
      <c r="B16" s="202">
        <v>240147</v>
      </c>
      <c r="C16" s="175" t="s">
        <v>363</v>
      </c>
      <c r="D16" s="174" t="s">
        <v>225</v>
      </c>
      <c r="E16" s="176">
        <v>39000</v>
      </c>
    </row>
    <row r="17" spans="1:5" ht="21">
      <c r="A17" s="174">
        <v>14</v>
      </c>
      <c r="B17" s="202">
        <v>21431</v>
      </c>
      <c r="C17" s="175" t="s">
        <v>469</v>
      </c>
      <c r="D17" s="174" t="s">
        <v>455</v>
      </c>
      <c r="E17" s="176">
        <v>30000</v>
      </c>
    </row>
    <row r="18" spans="1:5" ht="21">
      <c r="A18" s="174">
        <v>15</v>
      </c>
      <c r="B18" s="202">
        <v>21571</v>
      </c>
      <c r="C18" s="175" t="s">
        <v>528</v>
      </c>
      <c r="D18" s="174" t="s">
        <v>529</v>
      </c>
      <c r="E18" s="176">
        <v>70000</v>
      </c>
    </row>
    <row r="19" spans="1:5" ht="21">
      <c r="A19" s="174">
        <v>16</v>
      </c>
      <c r="B19" s="202">
        <v>21470</v>
      </c>
      <c r="C19" s="175" t="s">
        <v>471</v>
      </c>
      <c r="D19" s="174" t="s">
        <v>364</v>
      </c>
      <c r="E19" s="176">
        <v>100000</v>
      </c>
    </row>
    <row r="20" spans="1:5" ht="21">
      <c r="A20" s="174">
        <v>17</v>
      </c>
      <c r="B20" s="202">
        <v>21424</v>
      </c>
      <c r="C20" s="175" t="s">
        <v>475</v>
      </c>
      <c r="D20" s="174" t="s">
        <v>251</v>
      </c>
      <c r="E20" s="176">
        <v>47000</v>
      </c>
    </row>
    <row r="21" spans="1:5" ht="21">
      <c r="A21" s="174">
        <v>18</v>
      </c>
      <c r="B21" s="202">
        <v>21509</v>
      </c>
      <c r="C21" s="175" t="s">
        <v>493</v>
      </c>
      <c r="D21" s="174" t="s">
        <v>494</v>
      </c>
      <c r="E21" s="176">
        <v>40000</v>
      </c>
    </row>
    <row r="22" spans="1:5" ht="21">
      <c r="A22" s="174">
        <v>19</v>
      </c>
      <c r="B22" s="202" t="s">
        <v>531</v>
      </c>
      <c r="C22" s="175" t="s">
        <v>532</v>
      </c>
      <c r="D22" s="174" t="s">
        <v>533</v>
      </c>
      <c r="E22" s="176">
        <v>13000</v>
      </c>
    </row>
    <row r="23" spans="1:5" ht="21">
      <c r="A23" s="174">
        <v>20</v>
      </c>
      <c r="B23" s="202">
        <v>237770</v>
      </c>
      <c r="C23" s="175" t="s">
        <v>226</v>
      </c>
      <c r="D23" s="174" t="s">
        <v>227</v>
      </c>
      <c r="E23" s="176">
        <v>13780</v>
      </c>
    </row>
    <row r="24" spans="1:5" ht="21">
      <c r="A24" s="174">
        <v>21</v>
      </c>
      <c r="B24" s="202">
        <v>237770</v>
      </c>
      <c r="C24" s="175" t="s">
        <v>174</v>
      </c>
      <c r="D24" s="174" t="s">
        <v>228</v>
      </c>
      <c r="E24" s="176">
        <v>8780</v>
      </c>
    </row>
    <row r="25" spans="1:5" ht="21">
      <c r="A25" s="174">
        <v>22</v>
      </c>
      <c r="B25" s="202">
        <v>21541</v>
      </c>
      <c r="C25" s="175" t="s">
        <v>513</v>
      </c>
      <c r="D25" s="174" t="s">
        <v>514</v>
      </c>
      <c r="E25" s="176">
        <v>60000</v>
      </c>
    </row>
    <row r="26" spans="1:5" ht="21">
      <c r="A26" s="174">
        <v>23</v>
      </c>
      <c r="B26" s="202">
        <v>21183</v>
      </c>
      <c r="C26" s="175" t="s">
        <v>396</v>
      </c>
      <c r="D26" s="174" t="s">
        <v>474</v>
      </c>
      <c r="E26" s="176">
        <v>20000</v>
      </c>
    </row>
    <row r="27" spans="1:5" ht="21">
      <c r="A27" s="174">
        <v>24</v>
      </c>
      <c r="B27" s="202">
        <v>21541</v>
      </c>
      <c r="C27" s="175" t="s">
        <v>509</v>
      </c>
      <c r="D27" s="174" t="s">
        <v>510</v>
      </c>
      <c r="E27" s="176">
        <v>24000</v>
      </c>
    </row>
    <row r="28" spans="1:5" ht="21">
      <c r="A28" s="174">
        <v>25</v>
      </c>
      <c r="B28" s="202">
        <v>21541</v>
      </c>
      <c r="C28" s="175" t="s">
        <v>511</v>
      </c>
      <c r="D28" s="174" t="s">
        <v>512</v>
      </c>
      <c r="E28" s="176">
        <v>26000</v>
      </c>
    </row>
    <row r="29" spans="1:5" ht="21">
      <c r="A29" s="174"/>
      <c r="B29" s="202"/>
      <c r="C29" s="175"/>
      <c r="D29" s="174"/>
      <c r="E29" s="176"/>
    </row>
    <row r="30" spans="1:5" ht="21">
      <c r="A30" s="296" t="s">
        <v>19</v>
      </c>
      <c r="B30" s="296"/>
      <c r="C30" s="296"/>
      <c r="D30" s="296"/>
      <c r="E30" s="177">
        <f>SUM(E4:E29)</f>
        <v>1031560</v>
      </c>
    </row>
    <row r="31" ht="21">
      <c r="E31" s="179" t="s">
        <v>253</v>
      </c>
    </row>
    <row r="32" spans="1:6" ht="21">
      <c r="A32" s="298" t="s">
        <v>252</v>
      </c>
      <c r="B32" s="298"/>
      <c r="C32" s="298"/>
      <c r="D32" s="298"/>
      <c r="E32" s="298"/>
      <c r="F32" s="180"/>
    </row>
    <row r="33" spans="1:6" ht="21">
      <c r="A33" s="295" t="s">
        <v>220</v>
      </c>
      <c r="B33" s="295"/>
      <c r="C33" s="295"/>
      <c r="D33" s="295"/>
      <c r="E33" s="295"/>
      <c r="F33" s="295"/>
    </row>
    <row r="34" spans="1:6" ht="21">
      <c r="A34" s="295" t="s">
        <v>537</v>
      </c>
      <c r="B34" s="295"/>
      <c r="C34" s="295"/>
      <c r="D34" s="295"/>
      <c r="E34" s="295"/>
      <c r="F34" s="295"/>
    </row>
    <row r="36" ht="21">
      <c r="I36" s="22" t="s">
        <v>399</v>
      </c>
    </row>
    <row r="49" ht="21">
      <c r="E49" s="179">
        <v>0</v>
      </c>
    </row>
  </sheetData>
  <sheetProtection/>
  <mergeCells count="6">
    <mergeCell ref="A33:F33"/>
    <mergeCell ref="A34:F34"/>
    <mergeCell ref="A30:D30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9.140625" style="126" customWidth="1"/>
    <col min="2" max="2" width="35.00390625" style="126" customWidth="1"/>
    <col min="3" max="3" width="17.421875" style="126" customWidth="1"/>
    <col min="4" max="4" width="12.421875" style="126" customWidth="1"/>
    <col min="5" max="16384" width="9.140625" style="126" customWidth="1"/>
  </cols>
  <sheetData>
    <row r="1" spans="1:5" ht="23.25">
      <c r="A1" s="299" t="s">
        <v>547</v>
      </c>
      <c r="B1" s="299"/>
      <c r="C1" s="299"/>
      <c r="D1" s="299"/>
      <c r="E1" s="34"/>
    </row>
    <row r="2" spans="1:5" ht="23.25">
      <c r="A2" s="299" t="s">
        <v>246</v>
      </c>
      <c r="B2" s="299"/>
      <c r="C2" s="299"/>
      <c r="D2" s="299"/>
      <c r="E2" s="34"/>
    </row>
    <row r="3" spans="1:4" ht="23.25">
      <c r="A3" s="299" t="s">
        <v>229</v>
      </c>
      <c r="B3" s="299"/>
      <c r="C3" s="299"/>
      <c r="D3" s="299"/>
    </row>
    <row r="5" spans="1:4" ht="23.25">
      <c r="A5" s="127" t="s">
        <v>136</v>
      </c>
      <c r="B5" s="127" t="s">
        <v>24</v>
      </c>
      <c r="C5" s="127" t="s">
        <v>69</v>
      </c>
      <c r="D5" s="127" t="s">
        <v>230</v>
      </c>
    </row>
    <row r="6" spans="1:4" ht="23.25">
      <c r="A6" s="139">
        <v>1</v>
      </c>
      <c r="B6" s="140" t="s">
        <v>231</v>
      </c>
      <c r="C6" s="141">
        <v>100000</v>
      </c>
      <c r="D6" s="140"/>
    </row>
    <row r="7" spans="1:4" ht="23.25">
      <c r="A7" s="142">
        <v>2</v>
      </c>
      <c r="B7" s="143" t="s">
        <v>232</v>
      </c>
      <c r="C7" s="144">
        <v>100000</v>
      </c>
      <c r="D7" s="143"/>
    </row>
    <row r="8" spans="1:4" ht="23.25">
      <c r="A8" s="142">
        <v>3</v>
      </c>
      <c r="B8" s="143" t="s">
        <v>233</v>
      </c>
      <c r="C8" s="144">
        <v>100000</v>
      </c>
      <c r="D8" s="143"/>
    </row>
    <row r="9" spans="1:4" ht="23.25">
      <c r="A9" s="142">
        <v>4</v>
      </c>
      <c r="B9" s="143" t="s">
        <v>234</v>
      </c>
      <c r="C9" s="144">
        <v>100000</v>
      </c>
      <c r="D9" s="143"/>
    </row>
    <row r="10" spans="1:4" ht="23.25">
      <c r="A10" s="142">
        <v>5</v>
      </c>
      <c r="B10" s="143" t="s">
        <v>235</v>
      </c>
      <c r="C10" s="144">
        <v>100000</v>
      </c>
      <c r="D10" s="143"/>
    </row>
    <row r="11" spans="1:4" ht="23.25">
      <c r="A11" s="142">
        <v>6</v>
      </c>
      <c r="B11" s="143" t="s">
        <v>236</v>
      </c>
      <c r="C11" s="144">
        <v>100000</v>
      </c>
      <c r="D11" s="143"/>
    </row>
    <row r="12" spans="1:4" ht="23.25">
      <c r="A12" s="142">
        <v>7</v>
      </c>
      <c r="B12" s="143" t="s">
        <v>237</v>
      </c>
      <c r="C12" s="144">
        <v>100000</v>
      </c>
      <c r="D12" s="143"/>
    </row>
    <row r="13" spans="1:4" ht="23.25">
      <c r="A13" s="142">
        <v>8</v>
      </c>
      <c r="B13" s="143" t="s">
        <v>238</v>
      </c>
      <c r="C13" s="144">
        <v>100000</v>
      </c>
      <c r="D13" s="143"/>
    </row>
    <row r="14" spans="1:4" ht="23.25">
      <c r="A14" s="142">
        <v>9</v>
      </c>
      <c r="B14" s="143" t="s">
        <v>239</v>
      </c>
      <c r="C14" s="144">
        <v>100000</v>
      </c>
      <c r="D14" s="143"/>
    </row>
    <row r="15" spans="1:4" ht="23.25">
      <c r="A15" s="142">
        <v>10</v>
      </c>
      <c r="B15" s="143" t="s">
        <v>240</v>
      </c>
      <c r="C15" s="144">
        <v>100000</v>
      </c>
      <c r="D15" s="143"/>
    </row>
    <row r="16" spans="1:4" ht="23.25">
      <c r="A16" s="145">
        <v>11</v>
      </c>
      <c r="B16" s="146" t="s">
        <v>241</v>
      </c>
      <c r="C16" s="147">
        <v>100000</v>
      </c>
      <c r="D16" s="146"/>
    </row>
    <row r="17" spans="3:4" ht="24" thickBot="1">
      <c r="C17" s="148">
        <f>SUM(C6:C16)</f>
        <v>1100000</v>
      </c>
      <c r="D17" s="149"/>
    </row>
    <row r="18" ht="24" thickTop="1"/>
    <row r="20" spans="1:4" ht="23.25">
      <c r="A20" s="126" t="s">
        <v>242</v>
      </c>
      <c r="D20" s="126" t="s">
        <v>243</v>
      </c>
    </row>
    <row r="21" spans="1:3" ht="23.25">
      <c r="A21" s="126" t="s">
        <v>244</v>
      </c>
      <c r="C21" s="126" t="s">
        <v>247</v>
      </c>
    </row>
    <row r="22" spans="1:3" ht="23.25">
      <c r="A22" s="126" t="s">
        <v>538</v>
      </c>
      <c r="C22" s="126" t="s">
        <v>245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6.421875" style="126" customWidth="1"/>
    <col min="2" max="2" width="11.140625" style="126" customWidth="1"/>
    <col min="3" max="3" width="11.57421875" style="136" customWidth="1"/>
    <col min="4" max="4" width="43.00390625" style="126" customWidth="1"/>
    <col min="5" max="5" width="14.00390625" style="125" customWidth="1"/>
    <col min="6" max="6" width="10.28125" style="125" bestFit="1" customWidth="1"/>
    <col min="7" max="16384" width="9.140625" style="126" customWidth="1"/>
  </cols>
  <sheetData>
    <row r="1" spans="1:6" ht="23.25">
      <c r="A1" s="299" t="s">
        <v>547</v>
      </c>
      <c r="B1" s="299"/>
      <c r="C1" s="299"/>
      <c r="D1" s="299"/>
      <c r="E1" s="299"/>
      <c r="F1" s="299"/>
    </row>
    <row r="2" spans="1:6" ht="23.25">
      <c r="A2" s="299" t="s">
        <v>359</v>
      </c>
      <c r="B2" s="299"/>
      <c r="C2" s="299"/>
      <c r="D2" s="299"/>
      <c r="E2" s="299"/>
      <c r="F2" s="299"/>
    </row>
    <row r="3" spans="1:6" ht="23.25">
      <c r="A3" s="301" t="s">
        <v>249</v>
      </c>
      <c r="B3" s="301"/>
      <c r="C3" s="301"/>
      <c r="D3" s="301"/>
      <c r="E3" s="301"/>
      <c r="F3" s="301"/>
    </row>
    <row r="4" spans="1:6" ht="23.25">
      <c r="A4" s="127" t="s">
        <v>136</v>
      </c>
      <c r="B4" s="127" t="s">
        <v>137</v>
      </c>
      <c r="C4" s="128" t="s">
        <v>138</v>
      </c>
      <c r="D4" s="127" t="s">
        <v>139</v>
      </c>
      <c r="E4" s="129" t="s">
        <v>140</v>
      </c>
      <c r="F4" s="129" t="s">
        <v>141</v>
      </c>
    </row>
    <row r="5" spans="1:6" ht="23.25">
      <c r="A5" s="130">
        <v>1</v>
      </c>
      <c r="B5" s="131">
        <v>16233</v>
      </c>
      <c r="C5" s="132" t="s">
        <v>142</v>
      </c>
      <c r="D5" s="130" t="s">
        <v>405</v>
      </c>
      <c r="E5" s="133">
        <v>47300</v>
      </c>
      <c r="F5" s="133">
        <v>238</v>
      </c>
    </row>
    <row r="6" spans="1:6" ht="23.25">
      <c r="A6" s="130">
        <v>2</v>
      </c>
      <c r="B6" s="131">
        <v>16233</v>
      </c>
      <c r="C6" s="132" t="s">
        <v>143</v>
      </c>
      <c r="D6" s="130" t="s">
        <v>144</v>
      </c>
      <c r="E6" s="133">
        <v>100000</v>
      </c>
      <c r="F6" s="133">
        <v>250</v>
      </c>
    </row>
    <row r="7" spans="1:6" ht="23.25">
      <c r="A7" s="130">
        <v>3</v>
      </c>
      <c r="B7" s="131">
        <v>17025</v>
      </c>
      <c r="C7" s="132" t="s">
        <v>145</v>
      </c>
      <c r="D7" s="130" t="s">
        <v>146</v>
      </c>
      <c r="E7" s="133">
        <v>40000</v>
      </c>
      <c r="F7" s="133">
        <v>338</v>
      </c>
    </row>
    <row r="8" spans="1:6" ht="23.25">
      <c r="A8" s="130">
        <v>4</v>
      </c>
      <c r="B8" s="131">
        <v>17025</v>
      </c>
      <c r="C8" s="132" t="s">
        <v>147</v>
      </c>
      <c r="D8" s="130" t="s">
        <v>148</v>
      </c>
      <c r="E8" s="133">
        <v>40000</v>
      </c>
      <c r="F8" s="133">
        <v>163</v>
      </c>
    </row>
    <row r="9" spans="1:6" ht="23.25">
      <c r="A9" s="130">
        <v>5</v>
      </c>
      <c r="B9" s="131">
        <v>17165</v>
      </c>
      <c r="C9" s="132" t="s">
        <v>149</v>
      </c>
      <c r="D9" s="130" t="s">
        <v>150</v>
      </c>
      <c r="E9" s="133">
        <v>60000</v>
      </c>
      <c r="F9" s="133">
        <v>5250</v>
      </c>
    </row>
    <row r="10" spans="1:6" ht="23.25">
      <c r="A10" s="130">
        <v>6</v>
      </c>
      <c r="B10" s="131">
        <v>17430</v>
      </c>
      <c r="C10" s="132" t="s">
        <v>151</v>
      </c>
      <c r="D10" s="130" t="s">
        <v>152</v>
      </c>
      <c r="E10" s="133">
        <v>30000</v>
      </c>
      <c r="F10" s="133">
        <v>375</v>
      </c>
    </row>
    <row r="11" spans="1:6" ht="23.25">
      <c r="A11" s="130">
        <v>7</v>
      </c>
      <c r="B11" s="131">
        <v>17430</v>
      </c>
      <c r="C11" s="132" t="s">
        <v>153</v>
      </c>
      <c r="D11" s="130" t="s">
        <v>154</v>
      </c>
      <c r="E11" s="133">
        <v>30000</v>
      </c>
      <c r="F11" s="133">
        <v>188</v>
      </c>
    </row>
    <row r="12" spans="1:6" ht="23.25">
      <c r="A12" s="130">
        <v>8</v>
      </c>
      <c r="B12" s="131">
        <v>17430</v>
      </c>
      <c r="C12" s="132" t="s">
        <v>155</v>
      </c>
      <c r="D12" s="130" t="s">
        <v>156</v>
      </c>
      <c r="E12" s="133">
        <v>20000</v>
      </c>
      <c r="F12" s="133">
        <v>250</v>
      </c>
    </row>
    <row r="13" spans="1:6" ht="23.25">
      <c r="A13" s="130">
        <v>9</v>
      </c>
      <c r="B13" s="131">
        <v>17508</v>
      </c>
      <c r="C13" s="132" t="s">
        <v>157</v>
      </c>
      <c r="D13" s="130" t="s">
        <v>158</v>
      </c>
      <c r="E13" s="133">
        <v>14000</v>
      </c>
      <c r="F13" s="133">
        <v>88</v>
      </c>
    </row>
    <row r="14" spans="1:6" ht="23.25">
      <c r="A14" s="130">
        <v>10</v>
      </c>
      <c r="B14" s="131">
        <v>17701</v>
      </c>
      <c r="C14" s="132" t="s">
        <v>159</v>
      </c>
      <c r="D14" s="130" t="s">
        <v>160</v>
      </c>
      <c r="E14" s="133">
        <v>23000</v>
      </c>
      <c r="F14" s="133">
        <v>288</v>
      </c>
    </row>
    <row r="15" spans="1:6" ht="23.25">
      <c r="A15" s="130">
        <v>11</v>
      </c>
      <c r="B15" s="131">
        <v>17760</v>
      </c>
      <c r="C15" s="132" t="s">
        <v>161</v>
      </c>
      <c r="D15" s="130" t="s">
        <v>162</v>
      </c>
      <c r="E15" s="133">
        <v>30000</v>
      </c>
      <c r="F15" s="133">
        <f>1125+430+589+362</f>
        <v>2506</v>
      </c>
    </row>
    <row r="16" spans="1:6" ht="23.25">
      <c r="A16" s="130">
        <v>12</v>
      </c>
      <c r="B16" s="131">
        <v>17931</v>
      </c>
      <c r="C16" s="132" t="s">
        <v>163</v>
      </c>
      <c r="D16" s="130" t="s">
        <v>164</v>
      </c>
      <c r="E16" s="133">
        <v>40000</v>
      </c>
      <c r="F16" s="133">
        <f>1858+430+589+362</f>
        <v>3239</v>
      </c>
    </row>
    <row r="17" spans="1:6" ht="23.25">
      <c r="A17" s="130">
        <v>13</v>
      </c>
      <c r="B17" s="131">
        <v>18079</v>
      </c>
      <c r="C17" s="132" t="s">
        <v>165</v>
      </c>
      <c r="D17" s="130" t="s">
        <v>166</v>
      </c>
      <c r="E17" s="133">
        <v>15000</v>
      </c>
      <c r="F17" s="133">
        <v>750</v>
      </c>
    </row>
    <row r="18" spans="1:6" ht="23.25">
      <c r="A18" s="130">
        <v>14</v>
      </c>
      <c r="B18" s="131">
        <v>18083</v>
      </c>
      <c r="C18" s="132" t="s">
        <v>167</v>
      </c>
      <c r="D18" s="130" t="s">
        <v>144</v>
      </c>
      <c r="E18" s="133">
        <v>10000</v>
      </c>
      <c r="F18" s="133">
        <v>125</v>
      </c>
    </row>
    <row r="19" spans="1:6" ht="23.25">
      <c r="A19" s="130">
        <v>15</v>
      </c>
      <c r="B19" s="131">
        <v>18219</v>
      </c>
      <c r="C19" s="132" t="s">
        <v>168</v>
      </c>
      <c r="D19" s="130" t="s">
        <v>169</v>
      </c>
      <c r="E19" s="133">
        <v>25000</v>
      </c>
      <c r="F19" s="133">
        <v>313</v>
      </c>
    </row>
    <row r="20" spans="1:6" ht="23.25">
      <c r="A20" s="130">
        <v>16</v>
      </c>
      <c r="B20" s="131">
        <v>18259</v>
      </c>
      <c r="C20" s="132" t="s">
        <v>170</v>
      </c>
      <c r="D20" s="130" t="s">
        <v>158</v>
      </c>
      <c r="E20" s="133">
        <v>7000</v>
      </c>
      <c r="F20" s="133">
        <v>88</v>
      </c>
    </row>
    <row r="21" spans="1:6" ht="23.25">
      <c r="A21" s="130">
        <v>17</v>
      </c>
      <c r="B21" s="131">
        <v>18498</v>
      </c>
      <c r="C21" s="132" t="s">
        <v>171</v>
      </c>
      <c r="D21" s="130" t="s">
        <v>172</v>
      </c>
      <c r="E21" s="133">
        <v>13000</v>
      </c>
      <c r="F21" s="133">
        <v>82</v>
      </c>
    </row>
    <row r="22" spans="1:6" ht="23.25">
      <c r="A22" s="130">
        <v>18</v>
      </c>
      <c r="B22" s="131">
        <v>18499</v>
      </c>
      <c r="C22" s="132" t="s">
        <v>173</v>
      </c>
      <c r="D22" s="130" t="s">
        <v>154</v>
      </c>
      <c r="E22" s="133">
        <v>14000</v>
      </c>
      <c r="F22" s="133">
        <v>175</v>
      </c>
    </row>
    <row r="23" spans="1:6" ht="23.25">
      <c r="A23" s="130">
        <v>19</v>
      </c>
      <c r="B23" s="131">
        <v>237770</v>
      </c>
      <c r="C23" s="132" t="s">
        <v>174</v>
      </c>
      <c r="D23" s="130" t="s">
        <v>175</v>
      </c>
      <c r="E23" s="133">
        <v>25000</v>
      </c>
      <c r="F23" s="133">
        <v>1151</v>
      </c>
    </row>
    <row r="24" spans="1:6" ht="23.25">
      <c r="A24" s="130">
        <v>20</v>
      </c>
      <c r="B24" s="131">
        <v>18820</v>
      </c>
      <c r="C24" s="132" t="s">
        <v>176</v>
      </c>
      <c r="D24" s="130" t="s">
        <v>156</v>
      </c>
      <c r="E24" s="133">
        <v>9000</v>
      </c>
      <c r="F24" s="133">
        <v>113</v>
      </c>
    </row>
    <row r="25" spans="1:6" ht="23.25">
      <c r="A25" s="130">
        <v>21</v>
      </c>
      <c r="B25" s="131">
        <v>18820</v>
      </c>
      <c r="C25" s="132" t="s">
        <v>177</v>
      </c>
      <c r="D25" s="130" t="s">
        <v>178</v>
      </c>
      <c r="E25" s="133">
        <v>26000</v>
      </c>
      <c r="F25" s="133">
        <v>163</v>
      </c>
    </row>
    <row r="26" spans="1:6" ht="23.25">
      <c r="A26" s="130">
        <v>22</v>
      </c>
      <c r="B26" s="131">
        <v>18825</v>
      </c>
      <c r="C26" s="132" t="s">
        <v>179</v>
      </c>
      <c r="D26" s="130" t="s">
        <v>156</v>
      </c>
      <c r="E26" s="133">
        <v>15000</v>
      </c>
      <c r="F26" s="133">
        <v>188</v>
      </c>
    </row>
    <row r="27" spans="1:6" ht="23.25">
      <c r="A27" s="130">
        <v>23</v>
      </c>
      <c r="B27" s="131">
        <v>18910</v>
      </c>
      <c r="C27" s="132" t="s">
        <v>180</v>
      </c>
      <c r="D27" s="130" t="s">
        <v>181</v>
      </c>
      <c r="E27" s="133">
        <v>39000</v>
      </c>
      <c r="F27" s="133">
        <v>1219</v>
      </c>
    </row>
    <row r="28" spans="1:6" ht="23.25">
      <c r="A28" s="130">
        <v>24</v>
      </c>
      <c r="B28" s="131">
        <v>18974</v>
      </c>
      <c r="C28" s="132" t="s">
        <v>182</v>
      </c>
      <c r="D28" s="130" t="s">
        <v>183</v>
      </c>
      <c r="E28" s="133">
        <v>25000</v>
      </c>
      <c r="F28" s="133">
        <v>313</v>
      </c>
    </row>
    <row r="29" spans="1:6" ht="23.25">
      <c r="A29" s="130">
        <v>25</v>
      </c>
      <c r="B29" s="131">
        <v>19192</v>
      </c>
      <c r="C29" s="132" t="s">
        <v>184</v>
      </c>
      <c r="D29" s="130" t="s">
        <v>185</v>
      </c>
      <c r="E29" s="133">
        <v>16000</v>
      </c>
      <c r="F29" s="133">
        <v>200</v>
      </c>
    </row>
    <row r="30" spans="1:6" ht="23.25">
      <c r="A30" s="130">
        <v>26</v>
      </c>
      <c r="B30" s="131">
        <v>19202</v>
      </c>
      <c r="C30" s="132" t="s">
        <v>186</v>
      </c>
      <c r="D30" s="130" t="s">
        <v>187</v>
      </c>
      <c r="E30" s="133">
        <v>26000</v>
      </c>
      <c r="F30" s="133">
        <v>325</v>
      </c>
    </row>
    <row r="31" spans="1:6" ht="23.25">
      <c r="A31" s="130">
        <v>27</v>
      </c>
      <c r="B31" s="134">
        <v>19225</v>
      </c>
      <c r="C31" s="135" t="s">
        <v>188</v>
      </c>
      <c r="D31" s="130" t="s">
        <v>178</v>
      </c>
      <c r="E31" s="133">
        <v>15000</v>
      </c>
      <c r="F31" s="133">
        <v>188</v>
      </c>
    </row>
    <row r="33" spans="1:6" ht="22.5" customHeight="1">
      <c r="A33" s="127" t="s">
        <v>136</v>
      </c>
      <c r="B33" s="127" t="s">
        <v>137</v>
      </c>
      <c r="C33" s="128" t="s">
        <v>138</v>
      </c>
      <c r="D33" s="127" t="s">
        <v>139</v>
      </c>
      <c r="E33" s="129" t="s">
        <v>140</v>
      </c>
      <c r="F33" s="129" t="s">
        <v>141</v>
      </c>
    </row>
    <row r="34" spans="1:6" ht="22.5" customHeight="1">
      <c r="A34" s="130">
        <v>28</v>
      </c>
      <c r="B34" s="131">
        <v>19283</v>
      </c>
      <c r="C34" s="132" t="s">
        <v>189</v>
      </c>
      <c r="D34" s="130" t="s">
        <v>190</v>
      </c>
      <c r="E34" s="133">
        <v>16600</v>
      </c>
      <c r="F34" s="133">
        <v>208</v>
      </c>
    </row>
    <row r="35" spans="1:6" ht="22.5" customHeight="1">
      <c r="A35" s="130">
        <v>29</v>
      </c>
      <c r="B35" s="131">
        <v>19288</v>
      </c>
      <c r="C35" s="132" t="s">
        <v>191</v>
      </c>
      <c r="D35" s="130" t="s">
        <v>192</v>
      </c>
      <c r="E35" s="133">
        <v>9000</v>
      </c>
      <c r="F35" s="133">
        <v>225</v>
      </c>
    </row>
    <row r="36" spans="1:6" ht="22.5" customHeight="1">
      <c r="A36" s="130">
        <v>30</v>
      </c>
      <c r="B36" s="131">
        <v>19400</v>
      </c>
      <c r="C36" s="132" t="s">
        <v>193</v>
      </c>
      <c r="D36" s="130" t="s">
        <v>194</v>
      </c>
      <c r="E36" s="133">
        <v>25000</v>
      </c>
      <c r="F36" s="133">
        <v>1250</v>
      </c>
    </row>
    <row r="37" spans="1:6" ht="22.5" customHeight="1">
      <c r="A37" s="130">
        <v>31</v>
      </c>
      <c r="B37" s="131">
        <v>19429</v>
      </c>
      <c r="C37" s="132" t="s">
        <v>195</v>
      </c>
      <c r="D37" s="130" t="s">
        <v>196</v>
      </c>
      <c r="E37" s="133">
        <v>30000</v>
      </c>
      <c r="F37" s="133">
        <v>375</v>
      </c>
    </row>
    <row r="38" spans="1:6" ht="22.5" customHeight="1">
      <c r="A38" s="130">
        <v>32</v>
      </c>
      <c r="B38" s="131">
        <v>19653</v>
      </c>
      <c r="C38" s="132" t="s">
        <v>197</v>
      </c>
      <c r="D38" s="130" t="s">
        <v>198</v>
      </c>
      <c r="E38" s="133">
        <v>50000</v>
      </c>
      <c r="F38" s="133">
        <v>313</v>
      </c>
    </row>
    <row r="39" spans="1:6" ht="22.5" customHeight="1">
      <c r="A39" s="130">
        <v>33</v>
      </c>
      <c r="B39" s="131">
        <v>19659</v>
      </c>
      <c r="C39" s="132" t="s">
        <v>199</v>
      </c>
      <c r="D39" s="130" t="s">
        <v>200</v>
      </c>
      <c r="E39" s="133">
        <v>13000</v>
      </c>
      <c r="F39" s="133">
        <v>82</v>
      </c>
    </row>
    <row r="40" spans="1:6" ht="22.5" customHeight="1">
      <c r="A40" s="130">
        <v>34</v>
      </c>
      <c r="B40" s="131">
        <v>19661</v>
      </c>
      <c r="C40" s="132" t="s">
        <v>201</v>
      </c>
      <c r="D40" s="130" t="s">
        <v>190</v>
      </c>
      <c r="E40" s="133">
        <v>16600</v>
      </c>
      <c r="F40" s="133">
        <v>104</v>
      </c>
    </row>
    <row r="41" spans="1:6" ht="22.5" customHeight="1">
      <c r="A41" s="130">
        <v>35</v>
      </c>
      <c r="B41" s="131">
        <v>19752</v>
      </c>
      <c r="C41" s="132" t="s">
        <v>202</v>
      </c>
      <c r="D41" s="130" t="s">
        <v>203</v>
      </c>
      <c r="E41" s="133">
        <v>20000</v>
      </c>
      <c r="F41" s="133">
        <v>125</v>
      </c>
    </row>
    <row r="42" spans="1:6" ht="22.5" customHeight="1">
      <c r="A42" s="130">
        <v>36</v>
      </c>
      <c r="B42" s="131">
        <v>19787</v>
      </c>
      <c r="C42" s="132" t="s">
        <v>204</v>
      </c>
      <c r="D42" s="130" t="s">
        <v>181</v>
      </c>
      <c r="E42" s="133">
        <v>39000</v>
      </c>
      <c r="F42" s="133">
        <v>488</v>
      </c>
    </row>
    <row r="43" spans="1:6" ht="22.5" customHeight="1">
      <c r="A43" s="130">
        <v>37</v>
      </c>
      <c r="B43" s="131">
        <v>19976</v>
      </c>
      <c r="C43" s="132" t="s">
        <v>205</v>
      </c>
      <c r="D43" s="130" t="s">
        <v>185</v>
      </c>
      <c r="E43" s="133">
        <v>40000</v>
      </c>
      <c r="F43" s="133">
        <v>250</v>
      </c>
    </row>
    <row r="44" spans="1:6" ht="22.5" customHeight="1">
      <c r="A44" s="130">
        <v>38</v>
      </c>
      <c r="B44" s="131">
        <v>239178</v>
      </c>
      <c r="C44" s="132" t="s">
        <v>206</v>
      </c>
      <c r="D44" s="130" t="s">
        <v>207</v>
      </c>
      <c r="E44" s="133">
        <v>13000</v>
      </c>
      <c r="F44" s="133">
        <v>82</v>
      </c>
    </row>
    <row r="45" spans="1:6" ht="22.5" customHeight="1">
      <c r="A45" s="130">
        <v>39</v>
      </c>
      <c r="B45" s="131">
        <v>239179</v>
      </c>
      <c r="C45" s="132" t="s">
        <v>208</v>
      </c>
      <c r="D45" s="130" t="s">
        <v>209</v>
      </c>
      <c r="E45" s="133">
        <v>50000</v>
      </c>
      <c r="F45" s="133">
        <v>625</v>
      </c>
    </row>
    <row r="46" spans="1:6" ht="22.5" customHeight="1">
      <c r="A46" s="130">
        <v>40</v>
      </c>
      <c r="B46" s="131">
        <v>239185</v>
      </c>
      <c r="C46" s="132" t="s">
        <v>210</v>
      </c>
      <c r="D46" s="130" t="s">
        <v>211</v>
      </c>
      <c r="E46" s="133">
        <v>16600</v>
      </c>
      <c r="F46" s="133">
        <v>104</v>
      </c>
    </row>
    <row r="47" spans="1:6" ht="22.5" customHeight="1">
      <c r="A47" s="130">
        <v>41</v>
      </c>
      <c r="B47" s="131">
        <v>239189</v>
      </c>
      <c r="C47" s="132" t="s">
        <v>212</v>
      </c>
      <c r="D47" s="130" t="s">
        <v>213</v>
      </c>
      <c r="E47" s="133">
        <v>15000</v>
      </c>
      <c r="F47" s="133">
        <v>282</v>
      </c>
    </row>
    <row r="48" spans="1:6" ht="22.5" customHeight="1">
      <c r="A48" s="130">
        <v>42</v>
      </c>
      <c r="B48" s="131">
        <v>239206</v>
      </c>
      <c r="C48" s="132" t="s">
        <v>214</v>
      </c>
      <c r="D48" s="130" t="s">
        <v>215</v>
      </c>
      <c r="E48" s="133">
        <v>60000</v>
      </c>
      <c r="F48" s="133">
        <v>375</v>
      </c>
    </row>
    <row r="49" spans="1:6" ht="22.5" customHeight="1">
      <c r="A49" s="130">
        <v>43</v>
      </c>
      <c r="B49" s="131">
        <v>239308</v>
      </c>
      <c r="C49" s="132" t="s">
        <v>216</v>
      </c>
      <c r="D49" s="130" t="s">
        <v>217</v>
      </c>
      <c r="E49" s="133">
        <v>20000</v>
      </c>
      <c r="F49" s="133">
        <v>125</v>
      </c>
    </row>
    <row r="50" spans="1:6" ht="22.5" customHeight="1">
      <c r="A50" s="130">
        <v>44</v>
      </c>
      <c r="B50" s="131">
        <v>239349</v>
      </c>
      <c r="C50" s="132" t="s">
        <v>218</v>
      </c>
      <c r="D50" s="130" t="s">
        <v>219</v>
      </c>
      <c r="E50" s="133">
        <v>39000</v>
      </c>
      <c r="F50" s="133">
        <v>244</v>
      </c>
    </row>
    <row r="51" spans="1:6" ht="22.5" customHeight="1">
      <c r="A51" s="130">
        <v>45</v>
      </c>
      <c r="B51" s="131">
        <v>20366</v>
      </c>
      <c r="C51" s="132" t="s">
        <v>328</v>
      </c>
      <c r="D51" s="130" t="s">
        <v>329</v>
      </c>
      <c r="E51" s="133">
        <v>26000</v>
      </c>
      <c r="F51" s="133">
        <v>163</v>
      </c>
    </row>
    <row r="52" spans="1:6" ht="22.5" customHeight="1">
      <c r="A52" s="130">
        <v>46</v>
      </c>
      <c r="B52" s="131">
        <v>20436</v>
      </c>
      <c r="C52" s="132" t="s">
        <v>370</v>
      </c>
      <c r="D52" s="130" t="s">
        <v>371</v>
      </c>
      <c r="E52" s="133">
        <v>60000</v>
      </c>
      <c r="F52" s="133">
        <v>375</v>
      </c>
    </row>
    <row r="53" spans="1:6" ht="22.5" customHeight="1">
      <c r="A53" s="130">
        <v>47</v>
      </c>
      <c r="B53" s="131">
        <v>20386</v>
      </c>
      <c r="C53" s="132" t="s">
        <v>372</v>
      </c>
      <c r="D53" s="130" t="s">
        <v>373</v>
      </c>
      <c r="E53" s="133">
        <v>40000</v>
      </c>
      <c r="F53" s="133">
        <v>1000</v>
      </c>
    </row>
    <row r="54" spans="1:6" ht="22.5" customHeight="1">
      <c r="A54" s="130">
        <v>48</v>
      </c>
      <c r="B54" s="131">
        <v>20582</v>
      </c>
      <c r="C54" s="132" t="s">
        <v>374</v>
      </c>
      <c r="D54" s="130" t="s">
        <v>375</v>
      </c>
      <c r="E54" s="133">
        <v>39000</v>
      </c>
      <c r="F54" s="133">
        <v>488</v>
      </c>
    </row>
    <row r="55" spans="1:6" ht="22.5" customHeight="1">
      <c r="A55" s="130">
        <v>49</v>
      </c>
      <c r="B55" s="131">
        <v>20913</v>
      </c>
      <c r="C55" s="132" t="s">
        <v>376</v>
      </c>
      <c r="D55" s="130" t="s">
        <v>217</v>
      </c>
      <c r="E55" s="133">
        <v>20000</v>
      </c>
      <c r="F55" s="133">
        <v>625</v>
      </c>
    </row>
    <row r="56" spans="1:6" ht="22.5" customHeight="1">
      <c r="A56" s="130">
        <v>50</v>
      </c>
      <c r="B56" s="131">
        <v>20681</v>
      </c>
      <c r="C56" s="132" t="s">
        <v>377</v>
      </c>
      <c r="D56" s="130" t="s">
        <v>365</v>
      </c>
      <c r="E56" s="133">
        <v>40000</v>
      </c>
      <c r="F56" s="133">
        <v>250</v>
      </c>
    </row>
    <row r="57" spans="1:6" ht="22.5" customHeight="1">
      <c r="A57" s="130">
        <v>51</v>
      </c>
      <c r="B57" s="131">
        <v>20766</v>
      </c>
      <c r="C57" s="132" t="s">
        <v>366</v>
      </c>
      <c r="D57" s="130" t="s">
        <v>397</v>
      </c>
      <c r="E57" s="133">
        <v>15000</v>
      </c>
      <c r="F57" s="133">
        <v>188</v>
      </c>
    </row>
    <row r="58" spans="1:6" ht="22.5" customHeight="1">
      <c r="A58" s="130">
        <v>52</v>
      </c>
      <c r="B58" s="131">
        <v>21499</v>
      </c>
      <c r="C58" s="132" t="s">
        <v>394</v>
      </c>
      <c r="D58" s="130" t="s">
        <v>495</v>
      </c>
      <c r="E58" s="133">
        <v>26000</v>
      </c>
      <c r="F58" s="133">
        <v>163</v>
      </c>
    </row>
    <row r="59" spans="1:6" ht="22.5" customHeight="1">
      <c r="A59" s="130">
        <v>53</v>
      </c>
      <c r="B59" s="131">
        <v>21499</v>
      </c>
      <c r="C59" s="132" t="s">
        <v>368</v>
      </c>
      <c r="D59" s="130" t="s">
        <v>369</v>
      </c>
      <c r="E59" s="133">
        <v>24000</v>
      </c>
      <c r="F59" s="133">
        <v>150</v>
      </c>
    </row>
    <row r="60" spans="1:6" ht="22.5" customHeight="1" thickBot="1">
      <c r="A60" s="302" t="s">
        <v>19</v>
      </c>
      <c r="B60" s="303"/>
      <c r="C60" s="303"/>
      <c r="D60" s="304"/>
      <c r="E60" s="137">
        <f>SUM(E5:E59)</f>
        <v>1517100</v>
      </c>
      <c r="F60" s="137">
        <f>SUM(F5:F59)</f>
        <v>27225</v>
      </c>
    </row>
    <row r="61" spans="1:6" ht="22.5" customHeight="1" thickTop="1">
      <c r="A61" s="138"/>
      <c r="B61" s="138"/>
      <c r="C61" s="138"/>
      <c r="D61" s="138"/>
      <c r="E61" s="138"/>
      <c r="F61" s="138"/>
    </row>
    <row r="62" spans="1:6" ht="22.5" customHeight="1">
      <c r="A62" s="300" t="s">
        <v>378</v>
      </c>
      <c r="B62" s="300"/>
      <c r="C62" s="300"/>
      <c r="D62" s="300"/>
      <c r="E62" s="300"/>
      <c r="F62" s="300"/>
    </row>
    <row r="63" spans="1:6" ht="22.5" customHeight="1">
      <c r="A63" s="300" t="s">
        <v>220</v>
      </c>
      <c r="B63" s="300"/>
      <c r="C63" s="300"/>
      <c r="D63" s="300"/>
      <c r="E63" s="300"/>
      <c r="F63" s="300"/>
    </row>
    <row r="64" spans="1:6" ht="22.5" customHeight="1">
      <c r="A64" s="300" t="s">
        <v>539</v>
      </c>
      <c r="B64" s="300"/>
      <c r="C64" s="300"/>
      <c r="D64" s="300"/>
      <c r="E64" s="300"/>
      <c r="F64" s="300"/>
    </row>
    <row r="65" ht="18.75" customHeight="1"/>
  </sheetData>
  <sheetProtection/>
  <mergeCells count="7">
    <mergeCell ref="A64:F64"/>
    <mergeCell ref="A1:F1"/>
    <mergeCell ref="A2:F2"/>
    <mergeCell ref="A3:F3"/>
    <mergeCell ref="A60:D60"/>
    <mergeCell ref="A62:F62"/>
    <mergeCell ref="A63:F6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1" max="1" width="12.28125" style="152" customWidth="1"/>
    <col min="2" max="2" width="33.8515625" style="152" customWidth="1"/>
    <col min="3" max="3" width="38.421875" style="153" customWidth="1"/>
    <col min="4" max="16384" width="9.140625" style="126" customWidth="1"/>
  </cols>
  <sheetData>
    <row r="1" spans="1:3" ht="23.25">
      <c r="A1" s="297" t="s">
        <v>548</v>
      </c>
      <c r="B1" s="297"/>
      <c r="C1" s="297"/>
    </row>
    <row r="2" spans="1:3" ht="23.25">
      <c r="A2" s="297" t="s">
        <v>359</v>
      </c>
      <c r="B2" s="297"/>
      <c r="C2" s="297"/>
    </row>
    <row r="3" spans="1:3" ht="23.25">
      <c r="A3" s="297" t="s">
        <v>250</v>
      </c>
      <c r="B3" s="297"/>
      <c r="C3" s="297"/>
    </row>
    <row r="4" spans="1:3" ht="19.5" customHeight="1">
      <c r="A4" s="171" t="s">
        <v>136</v>
      </c>
      <c r="B4" s="171" t="s">
        <v>137</v>
      </c>
      <c r="C4" s="173" t="s">
        <v>254</v>
      </c>
    </row>
    <row r="5" spans="1:3" ht="19.5" customHeight="1">
      <c r="A5" s="205">
        <v>1</v>
      </c>
      <c r="B5" s="202">
        <v>235849</v>
      </c>
      <c r="C5" s="206">
        <v>103.54</v>
      </c>
    </row>
    <row r="6" spans="1:3" ht="19.5" customHeight="1">
      <c r="A6" s="205">
        <v>2</v>
      </c>
      <c r="B6" s="202">
        <v>236021</v>
      </c>
      <c r="C6" s="206">
        <v>136.72</v>
      </c>
    </row>
    <row r="7" spans="1:3" ht="19.5" customHeight="1">
      <c r="A7" s="205">
        <v>3</v>
      </c>
      <c r="B7" s="202">
        <v>236213</v>
      </c>
      <c r="C7" s="206">
        <v>211.02</v>
      </c>
    </row>
    <row r="8" spans="1:3" ht="19.5" customHeight="1">
      <c r="A8" s="205">
        <v>4</v>
      </c>
      <c r="B8" s="202">
        <v>236394</v>
      </c>
      <c r="C8" s="206">
        <v>57.48</v>
      </c>
    </row>
    <row r="9" spans="1:3" ht="19.5" customHeight="1">
      <c r="A9" s="205">
        <v>5</v>
      </c>
      <c r="B9" s="202">
        <v>236583</v>
      </c>
      <c r="C9" s="206">
        <v>146.63</v>
      </c>
    </row>
    <row r="10" spans="1:3" ht="18.75" customHeight="1">
      <c r="A10" s="205">
        <v>6</v>
      </c>
      <c r="B10" s="202">
        <v>236759</v>
      </c>
      <c r="C10" s="207">
        <v>119.2</v>
      </c>
    </row>
    <row r="11" spans="1:3" ht="19.5" customHeight="1">
      <c r="A11" s="205">
        <v>7</v>
      </c>
      <c r="B11" s="202">
        <v>236948</v>
      </c>
      <c r="C11" s="207">
        <v>287.6</v>
      </c>
    </row>
    <row r="12" spans="1:3" ht="19.5" customHeight="1">
      <c r="A12" s="205">
        <v>8</v>
      </c>
      <c r="B12" s="202">
        <v>237130</v>
      </c>
      <c r="C12" s="206">
        <v>403.22</v>
      </c>
    </row>
    <row r="13" spans="1:3" ht="19.5" customHeight="1">
      <c r="A13" s="205">
        <v>9</v>
      </c>
      <c r="B13" s="202">
        <v>237312</v>
      </c>
      <c r="C13" s="208">
        <v>234.17</v>
      </c>
    </row>
    <row r="14" spans="1:3" ht="19.5" customHeight="1">
      <c r="A14" s="205">
        <v>10</v>
      </c>
      <c r="B14" s="202">
        <v>18348</v>
      </c>
      <c r="C14" s="208">
        <v>254.88</v>
      </c>
    </row>
    <row r="15" spans="1:3" ht="19.5" customHeight="1">
      <c r="A15" s="205">
        <v>11</v>
      </c>
      <c r="B15" s="202">
        <v>237676</v>
      </c>
      <c r="C15" s="208">
        <v>346.72</v>
      </c>
    </row>
    <row r="16" spans="1:3" ht="19.5" customHeight="1">
      <c r="A16" s="205">
        <v>12</v>
      </c>
      <c r="B16" s="202">
        <v>237857</v>
      </c>
      <c r="C16" s="208">
        <v>339.62</v>
      </c>
    </row>
    <row r="17" spans="1:3" ht="19.5" customHeight="1">
      <c r="A17" s="205">
        <v>13</v>
      </c>
      <c r="B17" s="202">
        <v>238039</v>
      </c>
      <c r="C17" s="208">
        <v>342.47</v>
      </c>
    </row>
    <row r="18" spans="1:3" ht="19.5" customHeight="1">
      <c r="A18" s="205">
        <v>14</v>
      </c>
      <c r="B18" s="202">
        <v>238222</v>
      </c>
      <c r="C18" s="208">
        <v>358.51</v>
      </c>
    </row>
    <row r="19" spans="1:3" ht="19.5" customHeight="1">
      <c r="A19" s="205">
        <v>15</v>
      </c>
      <c r="B19" s="202">
        <v>238404</v>
      </c>
      <c r="C19" s="208">
        <v>183.56</v>
      </c>
    </row>
    <row r="20" spans="1:3" ht="19.5" customHeight="1">
      <c r="A20" s="205">
        <v>16</v>
      </c>
      <c r="B20" s="202">
        <v>238586</v>
      </c>
      <c r="C20" s="208">
        <v>249.47</v>
      </c>
    </row>
    <row r="21" spans="1:3" ht="19.5" customHeight="1">
      <c r="A21" s="205">
        <v>17</v>
      </c>
      <c r="B21" s="202">
        <v>238775</v>
      </c>
      <c r="C21" s="208">
        <v>221.32</v>
      </c>
    </row>
    <row r="22" spans="1:3" ht="19.5" customHeight="1">
      <c r="A22" s="205">
        <v>18</v>
      </c>
      <c r="B22" s="202">
        <v>238949</v>
      </c>
      <c r="C22" s="208">
        <v>207.96</v>
      </c>
    </row>
    <row r="23" spans="1:3" ht="19.5" customHeight="1">
      <c r="A23" s="205">
        <v>19</v>
      </c>
      <c r="B23" s="202">
        <v>239138</v>
      </c>
      <c r="C23" s="208">
        <v>487.4</v>
      </c>
    </row>
    <row r="24" spans="1:3" ht="19.5" customHeight="1">
      <c r="A24" s="205">
        <v>20</v>
      </c>
      <c r="B24" s="202">
        <v>239320</v>
      </c>
      <c r="C24" s="208">
        <v>323.86</v>
      </c>
    </row>
    <row r="25" spans="1:3" ht="19.5" customHeight="1">
      <c r="A25" s="205">
        <v>21</v>
      </c>
      <c r="B25" s="202">
        <v>239507</v>
      </c>
      <c r="C25" s="208">
        <v>369.85</v>
      </c>
    </row>
    <row r="26" spans="1:3" ht="19.5" customHeight="1">
      <c r="A26" s="205">
        <v>22</v>
      </c>
      <c r="B26" s="202">
        <v>239691</v>
      </c>
      <c r="C26" s="208">
        <v>451.52</v>
      </c>
    </row>
    <row r="27" spans="1:3" ht="19.5" customHeight="1">
      <c r="A27" s="205">
        <v>23</v>
      </c>
      <c r="B27" s="202">
        <v>239872</v>
      </c>
      <c r="C27" s="208">
        <v>358.8</v>
      </c>
    </row>
    <row r="28" spans="1:3" ht="19.5" customHeight="1">
      <c r="A28" s="205">
        <v>24</v>
      </c>
      <c r="B28" s="202">
        <v>240054</v>
      </c>
      <c r="C28" s="208">
        <v>415.47</v>
      </c>
    </row>
    <row r="29" spans="1:3" ht="19.5" customHeight="1">
      <c r="A29" s="205">
        <v>25</v>
      </c>
      <c r="B29" s="202">
        <v>21090</v>
      </c>
      <c r="C29" s="208">
        <v>271.13</v>
      </c>
    </row>
    <row r="30" spans="1:3" ht="19.5" customHeight="1">
      <c r="A30" s="205">
        <v>26</v>
      </c>
      <c r="B30" s="202">
        <v>21272</v>
      </c>
      <c r="C30" s="208">
        <v>381.92</v>
      </c>
    </row>
    <row r="31" spans="1:3" ht="19.5" customHeight="1">
      <c r="A31" s="205">
        <v>27</v>
      </c>
      <c r="B31" s="202">
        <v>21457</v>
      </c>
      <c r="C31" s="208">
        <v>283.67</v>
      </c>
    </row>
    <row r="32" spans="1:3" ht="24" thickBot="1">
      <c r="A32" s="305" t="s">
        <v>19</v>
      </c>
      <c r="B32" s="306"/>
      <c r="C32" s="209">
        <f>SUM(C5:C31)</f>
        <v>7547.71</v>
      </c>
    </row>
    <row r="33" spans="1:3" ht="24" thickTop="1">
      <c r="A33" s="210"/>
      <c r="B33" s="210"/>
      <c r="C33" s="211"/>
    </row>
    <row r="34" spans="1:3" ht="23.25">
      <c r="A34" s="298" t="s">
        <v>379</v>
      </c>
      <c r="B34" s="298"/>
      <c r="C34" s="298"/>
    </row>
    <row r="35" spans="1:3" ht="23.25">
      <c r="A35" s="307" t="s">
        <v>380</v>
      </c>
      <c r="B35" s="307"/>
      <c r="C35" s="307"/>
    </row>
    <row r="36" spans="1:3" ht="23.25">
      <c r="A36" s="295" t="s">
        <v>540</v>
      </c>
      <c r="B36" s="295"/>
      <c r="C36" s="295"/>
    </row>
  </sheetData>
  <sheetProtection/>
  <mergeCells count="7">
    <mergeCell ref="A36:C36"/>
    <mergeCell ref="A1:C1"/>
    <mergeCell ref="A2:C2"/>
    <mergeCell ref="A3:C3"/>
    <mergeCell ref="A32:B32"/>
    <mergeCell ref="A34:C34"/>
    <mergeCell ref="A35:C3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36"/>
  <sheetViews>
    <sheetView view="pageBreakPreview" zoomScaleSheetLayoutView="100" zoomScalePageLayoutView="0" workbookViewId="0" topLeftCell="A118">
      <selection activeCell="D121" sqref="D121"/>
    </sheetView>
  </sheetViews>
  <sheetFormatPr defaultColWidth="9.140625" defaultRowHeight="19.5" customHeight="1"/>
  <cols>
    <col min="1" max="1" width="9.8515625" style="273" customWidth="1"/>
    <col min="2" max="2" width="10.8515625" style="273" customWidth="1"/>
    <col min="3" max="3" width="10.140625" style="273" customWidth="1"/>
    <col min="4" max="4" width="11.28125" style="229" customWidth="1"/>
    <col min="5" max="5" width="43.421875" style="229" customWidth="1"/>
    <col min="6" max="6" width="6.28125" style="271" customWidth="1"/>
    <col min="7" max="7" width="10.7109375" style="273" customWidth="1"/>
    <col min="8" max="16384" width="9.140625" style="229" customWidth="1"/>
  </cols>
  <sheetData>
    <row r="1" spans="1:7" ht="19.5" customHeight="1">
      <c r="A1" s="230" t="s">
        <v>34</v>
      </c>
      <c r="B1" s="230"/>
      <c r="C1" s="230"/>
      <c r="D1" s="230"/>
      <c r="E1" s="314" t="s">
        <v>468</v>
      </c>
      <c r="F1" s="314"/>
      <c r="G1" s="314"/>
    </row>
    <row r="2" spans="1:7" ht="19.5" customHeight="1">
      <c r="A2" s="311" t="s">
        <v>20</v>
      </c>
      <c r="B2" s="311"/>
      <c r="C2" s="311"/>
      <c r="D2" s="311"/>
      <c r="E2" s="311"/>
      <c r="F2" s="311"/>
      <c r="G2" s="311"/>
    </row>
    <row r="3" spans="1:7" ht="19.5" customHeight="1">
      <c r="A3" s="311" t="s">
        <v>550</v>
      </c>
      <c r="B3" s="311"/>
      <c r="C3" s="311"/>
      <c r="D3" s="311"/>
      <c r="E3" s="311"/>
      <c r="F3" s="311"/>
      <c r="G3" s="311"/>
    </row>
    <row r="4" spans="1:7" ht="19.5" customHeight="1">
      <c r="A4" s="315" t="s">
        <v>21</v>
      </c>
      <c r="B4" s="316"/>
      <c r="C4" s="316"/>
      <c r="D4" s="317"/>
      <c r="E4" s="318" t="s">
        <v>24</v>
      </c>
      <c r="F4" s="231"/>
      <c r="G4" s="232" t="s">
        <v>69</v>
      </c>
    </row>
    <row r="5" spans="1:7" ht="19.5" customHeight="1">
      <c r="A5" s="232" t="s">
        <v>22</v>
      </c>
      <c r="B5" s="233" t="s">
        <v>414</v>
      </c>
      <c r="C5" s="233" t="s">
        <v>19</v>
      </c>
      <c r="D5" s="234" t="s">
        <v>23</v>
      </c>
      <c r="E5" s="319"/>
      <c r="F5" s="235" t="s">
        <v>25</v>
      </c>
      <c r="G5" s="236" t="s">
        <v>417</v>
      </c>
    </row>
    <row r="6" spans="1:7" ht="19.5" customHeight="1">
      <c r="A6" s="236" t="s">
        <v>28</v>
      </c>
      <c r="B6" s="237" t="s">
        <v>415</v>
      </c>
      <c r="C6" s="238" t="s">
        <v>28</v>
      </c>
      <c r="D6" s="239" t="s">
        <v>28</v>
      </c>
      <c r="E6" s="319"/>
      <c r="F6" s="235" t="s">
        <v>26</v>
      </c>
      <c r="G6" s="236" t="s">
        <v>418</v>
      </c>
    </row>
    <row r="7" spans="1:7" ht="19.5" customHeight="1">
      <c r="A7" s="240"/>
      <c r="B7" s="241" t="s">
        <v>416</v>
      </c>
      <c r="C7" s="241"/>
      <c r="D7" s="242"/>
      <c r="E7" s="320"/>
      <c r="F7" s="235"/>
      <c r="G7" s="240" t="s">
        <v>28</v>
      </c>
    </row>
    <row r="8" spans="1:7" ht="19.5" customHeight="1">
      <c r="A8" s="243"/>
      <c r="B8" s="243"/>
      <c r="C8" s="243"/>
      <c r="D8" s="243">
        <v>32620036.91</v>
      </c>
      <c r="E8" s="217" t="s">
        <v>29</v>
      </c>
      <c r="F8" s="235"/>
      <c r="G8" s="244">
        <v>34183188.62</v>
      </c>
    </row>
    <row r="9" spans="1:7" ht="19.5" customHeight="1">
      <c r="A9" s="245">
        <v>373500</v>
      </c>
      <c r="B9" s="245"/>
      <c r="C9" s="245">
        <f>373500</f>
        <v>373500</v>
      </c>
      <c r="D9" s="245">
        <f>112.14+13.35+419.58+18951.63+38336.85+329333.5+19031.29+13242.26</f>
        <v>419440.6</v>
      </c>
      <c r="E9" s="218" t="s">
        <v>39</v>
      </c>
      <c r="F9" s="235" t="s">
        <v>337</v>
      </c>
      <c r="G9" s="244">
        <v>13242.26</v>
      </c>
    </row>
    <row r="10" spans="1:7" ht="19.5" customHeight="1">
      <c r="A10" s="245">
        <v>172950</v>
      </c>
      <c r="B10" s="245"/>
      <c r="C10" s="245">
        <f>172950</f>
        <v>172950</v>
      </c>
      <c r="D10" s="245">
        <f>3626+2420+2292+5575.6+34703.4+36628.6+3669.8+18565.4</f>
        <v>107480.80000000002</v>
      </c>
      <c r="E10" s="218" t="s">
        <v>42</v>
      </c>
      <c r="F10" s="235" t="s">
        <v>338</v>
      </c>
      <c r="G10" s="244">
        <v>18565.4</v>
      </c>
    </row>
    <row r="11" spans="1:7" ht="19.5" customHeight="1">
      <c r="A11" s="245">
        <v>200000</v>
      </c>
      <c r="B11" s="245"/>
      <c r="C11" s="245">
        <f>200000</f>
        <v>200000</v>
      </c>
      <c r="D11" s="245">
        <f>5543.01+4002.89+50238.45+15920.24+3997.75+43495.89+5467.78+7085.38</f>
        <v>135751.38999999998</v>
      </c>
      <c r="E11" s="218" t="s">
        <v>44</v>
      </c>
      <c r="F11" s="235" t="s">
        <v>339</v>
      </c>
      <c r="G11" s="236">
        <v>7085.38</v>
      </c>
    </row>
    <row r="12" spans="1:7" ht="19.5" customHeight="1">
      <c r="A12" s="245">
        <v>50800</v>
      </c>
      <c r="B12" s="245"/>
      <c r="C12" s="245">
        <f>50800</f>
        <v>50800</v>
      </c>
      <c r="D12" s="245">
        <f>4500+1300+200+1000+400</f>
        <v>7400</v>
      </c>
      <c r="E12" s="218" t="s">
        <v>46</v>
      </c>
      <c r="F12" s="235" t="s">
        <v>340</v>
      </c>
      <c r="G12" s="236">
        <v>0</v>
      </c>
    </row>
    <row r="13" spans="1:7" ht="19.5" customHeight="1">
      <c r="A13" s="245">
        <v>500</v>
      </c>
      <c r="B13" s="245"/>
      <c r="C13" s="245">
        <f>500</f>
        <v>500</v>
      </c>
      <c r="D13" s="245">
        <f>345</f>
        <v>345</v>
      </c>
      <c r="E13" s="218" t="s">
        <v>76</v>
      </c>
      <c r="F13" s="235" t="s">
        <v>341</v>
      </c>
      <c r="G13" s="236">
        <v>0</v>
      </c>
    </row>
    <row r="14" spans="1:7" ht="19.5" customHeight="1">
      <c r="A14" s="245">
        <v>13925600</v>
      </c>
      <c r="B14" s="245"/>
      <c r="C14" s="245">
        <f>13925600</f>
        <v>13925600</v>
      </c>
      <c r="D14" s="245">
        <f>1170175.13+1291106.59+1189193.64+766361.75+1357236.06+1563036.69+766013.28+2634200.47</f>
        <v>10737323.61</v>
      </c>
      <c r="E14" s="218" t="s">
        <v>48</v>
      </c>
      <c r="F14" s="235" t="s">
        <v>389</v>
      </c>
      <c r="G14" s="236">
        <v>2634200.47</v>
      </c>
    </row>
    <row r="15" spans="1:7" ht="19.5" customHeight="1">
      <c r="A15" s="245">
        <v>8451200</v>
      </c>
      <c r="B15" s="247"/>
      <c r="C15" s="245">
        <f>8451200</f>
        <v>8451200</v>
      </c>
      <c r="D15" s="247">
        <f>2608471+2757832+953263</f>
        <v>6319566</v>
      </c>
      <c r="E15" s="218" t="s">
        <v>125</v>
      </c>
      <c r="F15" s="235" t="s">
        <v>343</v>
      </c>
      <c r="G15" s="236">
        <v>0</v>
      </c>
    </row>
    <row r="16" spans="1:7" ht="19.5" customHeight="1">
      <c r="A16" s="245"/>
      <c r="B16" s="247">
        <v>10783645</v>
      </c>
      <c r="C16" s="245">
        <v>10783645</v>
      </c>
      <c r="D16" s="247">
        <f>2480170+1713600+53380+1478400+1839800</f>
        <v>7565350</v>
      </c>
      <c r="E16" s="218" t="s">
        <v>419</v>
      </c>
      <c r="F16" s="235" t="s">
        <v>464</v>
      </c>
      <c r="G16" s="236">
        <v>1839800</v>
      </c>
    </row>
    <row r="17" spans="1:7" ht="19.5" customHeight="1">
      <c r="A17" s="246"/>
      <c r="B17" s="247">
        <v>0</v>
      </c>
      <c r="C17" s="246"/>
      <c r="D17" s="247"/>
      <c r="E17" s="218"/>
      <c r="F17" s="235"/>
      <c r="G17" s="236"/>
    </row>
    <row r="18" spans="1:7" ht="19.5" customHeight="1">
      <c r="A18" s="248">
        <f>SUM(A9:A17)</f>
        <v>23174550</v>
      </c>
      <c r="B18" s="248">
        <f>SUM(B16:B17)</f>
        <v>10783645</v>
      </c>
      <c r="C18" s="248">
        <f>SUM(C9:C17)</f>
        <v>33958195</v>
      </c>
      <c r="D18" s="248">
        <f>SUM(D9:D17)</f>
        <v>25292657.4</v>
      </c>
      <c r="E18" s="225" t="s">
        <v>19</v>
      </c>
      <c r="F18" s="249"/>
      <c r="G18" s="250">
        <f>SUM(G9:G17)</f>
        <v>4512893.51</v>
      </c>
    </row>
    <row r="19" spans="1:7" ht="19.5" customHeight="1">
      <c r="A19" s="251"/>
      <c r="B19" s="251"/>
      <c r="C19" s="251"/>
      <c r="D19" s="245">
        <f>1000+78000+14500+35500+313300+9100+181250+24900</f>
        <v>657550</v>
      </c>
      <c r="E19" s="218" t="s">
        <v>407</v>
      </c>
      <c r="F19" s="235" t="s">
        <v>437</v>
      </c>
      <c r="G19" s="244">
        <v>24900</v>
      </c>
    </row>
    <row r="20" spans="1:7" ht="19.5" customHeight="1">
      <c r="A20" s="251"/>
      <c r="B20" s="251"/>
      <c r="C20" s="251"/>
      <c r="D20" s="245"/>
      <c r="E20" s="218" t="s">
        <v>117</v>
      </c>
      <c r="F20" s="235" t="s">
        <v>442</v>
      </c>
      <c r="G20" s="244"/>
    </row>
    <row r="21" spans="1:7" ht="19.5" customHeight="1">
      <c r="A21" s="251"/>
      <c r="B21" s="251"/>
      <c r="C21" s="251"/>
      <c r="D21" s="245">
        <f>493.06+209.15+235.85+199.36+17.8+117.48+268.78+242.08</f>
        <v>1783.56</v>
      </c>
      <c r="E21" s="218" t="s">
        <v>334</v>
      </c>
      <c r="F21" s="235" t="s">
        <v>438</v>
      </c>
      <c r="G21" s="244">
        <v>242.08</v>
      </c>
    </row>
    <row r="22" spans="1:7" ht="19.5" customHeight="1">
      <c r="A22" s="251"/>
      <c r="B22" s="251"/>
      <c r="C22" s="251"/>
      <c r="D22" s="245">
        <f>1569410+544890+557800</f>
        <v>2672100</v>
      </c>
      <c r="E22" s="218" t="s">
        <v>448</v>
      </c>
      <c r="F22" s="235" t="s">
        <v>449</v>
      </c>
      <c r="G22" s="244">
        <v>557800</v>
      </c>
    </row>
    <row r="23" spans="1:7" ht="19.5" customHeight="1">
      <c r="A23" s="251"/>
      <c r="B23" s="251"/>
      <c r="C23" s="251"/>
      <c r="D23" s="245">
        <f>785920+783490+544890+557800</f>
        <v>2672100</v>
      </c>
      <c r="E23" s="218" t="s">
        <v>450</v>
      </c>
      <c r="F23" s="235" t="s">
        <v>456</v>
      </c>
      <c r="G23" s="244">
        <v>557800</v>
      </c>
    </row>
    <row r="24" spans="1:7" ht="19.5" customHeight="1">
      <c r="A24" s="251"/>
      <c r="B24" s="251"/>
      <c r="C24" s="251"/>
      <c r="D24" s="245">
        <f>124000+190000+186000+133000</f>
        <v>633000</v>
      </c>
      <c r="E24" s="218" t="s">
        <v>441</v>
      </c>
      <c r="F24" s="235" t="s">
        <v>439</v>
      </c>
      <c r="G24" s="244">
        <v>0</v>
      </c>
    </row>
    <row r="25" spans="1:7" ht="19.5" customHeight="1">
      <c r="A25" s="251"/>
      <c r="B25" s="251"/>
      <c r="C25" s="251"/>
      <c r="D25" s="245"/>
      <c r="E25" s="218" t="s">
        <v>10</v>
      </c>
      <c r="F25" s="235" t="s">
        <v>432</v>
      </c>
      <c r="G25" s="244"/>
    </row>
    <row r="26" spans="1:7" ht="19.5" customHeight="1">
      <c r="A26" s="245"/>
      <c r="B26" s="245"/>
      <c r="C26" s="245"/>
      <c r="D26" s="245">
        <f>9450</f>
        <v>9450</v>
      </c>
      <c r="E26" s="218" t="s">
        <v>457</v>
      </c>
      <c r="F26" s="235" t="s">
        <v>482</v>
      </c>
      <c r="G26" s="244">
        <v>0</v>
      </c>
    </row>
    <row r="27" spans="1:7" ht="19.5" customHeight="1">
      <c r="A27" s="251"/>
      <c r="B27" s="251"/>
      <c r="C27" s="251"/>
      <c r="D27" s="245">
        <f>22540.91+277870.57+205869.41+17560.93+22674.49+412707.76+266319.49+328251.35</f>
        <v>1553794.9100000001</v>
      </c>
      <c r="E27" s="218" t="s">
        <v>128</v>
      </c>
      <c r="F27" s="235" t="s">
        <v>443</v>
      </c>
      <c r="G27" s="244">
        <v>328251.35</v>
      </c>
    </row>
    <row r="28" spans="1:7" ht="19.5" customHeight="1">
      <c r="A28" s="252"/>
      <c r="B28" s="252"/>
      <c r="C28" s="252"/>
      <c r="D28" s="248">
        <f>SUM(D19:D27)</f>
        <v>8199778.470000001</v>
      </c>
      <c r="E28" s="225" t="s">
        <v>19</v>
      </c>
      <c r="F28" s="235"/>
      <c r="G28" s="250">
        <f>SUM(G19:G27)</f>
        <v>1468993.4300000002</v>
      </c>
    </row>
    <row r="29" spans="1:7" ht="19.5" customHeight="1">
      <c r="A29" s="244"/>
      <c r="B29" s="244"/>
      <c r="C29" s="244"/>
      <c r="D29" s="248">
        <f>SUM(D18+D28)</f>
        <v>33492435.869999997</v>
      </c>
      <c r="E29" s="225" t="s">
        <v>30</v>
      </c>
      <c r="F29" s="235"/>
      <c r="G29" s="250">
        <f>SUM(G18+G28)</f>
        <v>5981886.9399999995</v>
      </c>
    </row>
    <row r="30" spans="1:7" ht="19.5" customHeight="1">
      <c r="A30" s="253"/>
      <c r="B30" s="253"/>
      <c r="C30" s="253"/>
      <c r="D30" s="254"/>
      <c r="E30" s="225"/>
      <c r="F30" s="255"/>
      <c r="G30" s="253"/>
    </row>
    <row r="31" spans="1:7" ht="19.5" customHeight="1">
      <c r="A31" s="253"/>
      <c r="B31" s="253"/>
      <c r="C31" s="253"/>
      <c r="D31" s="254"/>
      <c r="E31" s="225"/>
      <c r="F31" s="255"/>
      <c r="G31" s="253"/>
    </row>
    <row r="32" spans="1:7" ht="19.5" customHeight="1">
      <c r="A32" s="253"/>
      <c r="B32" s="253"/>
      <c r="C32" s="253"/>
      <c r="D32" s="254"/>
      <c r="E32" s="225"/>
      <c r="F32" s="255"/>
      <c r="G32" s="253"/>
    </row>
    <row r="33" spans="1:7" ht="19.5" customHeight="1">
      <c r="A33" s="253"/>
      <c r="B33" s="253"/>
      <c r="C33" s="253"/>
      <c r="D33" s="254"/>
      <c r="E33" s="225"/>
      <c r="F33" s="255"/>
      <c r="G33" s="253"/>
    </row>
    <row r="34" spans="1:7" ht="19.5" customHeight="1">
      <c r="A34" s="253"/>
      <c r="B34" s="253"/>
      <c r="C34" s="253"/>
      <c r="D34" s="254"/>
      <c r="E34" s="225"/>
      <c r="F34" s="255"/>
      <c r="G34" s="253"/>
    </row>
    <row r="35" spans="1:7" ht="19.5" customHeight="1">
      <c r="A35" s="253"/>
      <c r="B35" s="253"/>
      <c r="C35" s="253"/>
      <c r="D35" s="254"/>
      <c r="E35" s="225"/>
      <c r="F35" s="255"/>
      <c r="G35" s="253"/>
    </row>
    <row r="36" spans="1:7" ht="19.5" customHeight="1">
      <c r="A36" s="253"/>
      <c r="B36" s="253"/>
      <c r="C36" s="253"/>
      <c r="D36" s="254"/>
      <c r="E36" s="225"/>
      <c r="F36" s="255"/>
      <c r="G36" s="253"/>
    </row>
    <row r="37" spans="1:7" ht="19.5" customHeight="1">
      <c r="A37" s="253"/>
      <c r="B37" s="253"/>
      <c r="C37" s="253"/>
      <c r="D37" s="254"/>
      <c r="E37" s="220"/>
      <c r="F37" s="255"/>
      <c r="G37" s="253"/>
    </row>
    <row r="38" spans="1:7" ht="16.5" customHeight="1">
      <c r="A38" s="253"/>
      <c r="B38" s="253"/>
      <c r="C38" s="253"/>
      <c r="D38" s="254"/>
      <c r="E38" s="220" t="s">
        <v>35</v>
      </c>
      <c r="F38" s="255"/>
      <c r="G38" s="253"/>
    </row>
    <row r="39" spans="1:7" ht="16.5" customHeight="1">
      <c r="A39" s="256"/>
      <c r="B39" s="256"/>
      <c r="C39" s="256"/>
      <c r="D39" s="257"/>
      <c r="E39" s="221" t="s">
        <v>33</v>
      </c>
      <c r="F39" s="231"/>
      <c r="G39" s="243"/>
    </row>
    <row r="40" spans="1:7" ht="16.5" customHeight="1">
      <c r="A40" s="244">
        <v>698780</v>
      </c>
      <c r="B40" s="244"/>
      <c r="C40" s="244">
        <f>698780</f>
        <v>698780</v>
      </c>
      <c r="D40" s="258">
        <f>54652+155486+7752+127752+7752+7752+22005+86817</f>
        <v>469968</v>
      </c>
      <c r="E40" s="218" t="s">
        <v>31</v>
      </c>
      <c r="F40" s="235" t="s">
        <v>429</v>
      </c>
      <c r="G40" s="258">
        <v>86817</v>
      </c>
    </row>
    <row r="41" spans="1:7" ht="16.5" customHeight="1">
      <c r="A41" s="244"/>
      <c r="B41" s="244">
        <f>3114000+1214500+585000</f>
        <v>4913500</v>
      </c>
      <c r="C41" s="244">
        <f>3114000+1214500+585000</f>
        <v>4913500</v>
      </c>
      <c r="D41" s="258">
        <f>611900+609600+606100+605300+600800+598500+597200+595300</f>
        <v>4824700</v>
      </c>
      <c r="E41" s="218" t="s">
        <v>458</v>
      </c>
      <c r="F41" s="235" t="s">
        <v>429</v>
      </c>
      <c r="G41" s="258">
        <v>595300</v>
      </c>
    </row>
    <row r="42" spans="1:7" ht="16.5" customHeight="1">
      <c r="A42" s="244"/>
      <c r="B42" s="244">
        <f>936000+156000+144800</f>
        <v>1236800</v>
      </c>
      <c r="C42" s="244">
        <f>936000+156000+144800</f>
        <v>1236800</v>
      </c>
      <c r="D42" s="258">
        <f>148000+147200+146400+144000+143200+143200+141600+140000</f>
        <v>1153600</v>
      </c>
      <c r="E42" s="218" t="s">
        <v>459</v>
      </c>
      <c r="F42" s="235" t="s">
        <v>429</v>
      </c>
      <c r="G42" s="258">
        <v>140000</v>
      </c>
    </row>
    <row r="43" spans="1:7" ht="16.5" customHeight="1">
      <c r="A43" s="244"/>
      <c r="B43" s="244">
        <f>2500+2000</f>
        <v>4500</v>
      </c>
      <c r="C43" s="244">
        <f>2500+2000</f>
        <v>4500</v>
      </c>
      <c r="D43" s="258">
        <f>450+500+500+550+500+500+500+500</f>
        <v>4000</v>
      </c>
      <c r="E43" s="218" t="s">
        <v>460</v>
      </c>
      <c r="F43" s="235" t="s">
        <v>429</v>
      </c>
      <c r="G43" s="258">
        <v>500</v>
      </c>
    </row>
    <row r="44" spans="1:7" ht="16.5" customHeight="1">
      <c r="A44" s="244">
        <v>2839600</v>
      </c>
      <c r="B44" s="244"/>
      <c r="C44" s="244">
        <f>2839600</f>
        <v>2839600</v>
      </c>
      <c r="D44" s="258">
        <f>235860+235860+235860+235860+235860+235860+235860+235860</f>
        <v>1886880</v>
      </c>
      <c r="E44" s="218" t="s">
        <v>330</v>
      </c>
      <c r="F44" s="235" t="s">
        <v>430</v>
      </c>
      <c r="G44" s="258">
        <v>235860</v>
      </c>
    </row>
    <row r="45" spans="1:7" ht="16.5" customHeight="1">
      <c r="A45" s="236">
        <v>4848400</v>
      </c>
      <c r="B45" s="236" t="s">
        <v>253</v>
      </c>
      <c r="C45" s="236">
        <f>4848400</f>
        <v>4848400</v>
      </c>
      <c r="D45" s="258">
        <f>361120+359990+359990+511183+380859+374145+380675+394675</f>
        <v>3122637</v>
      </c>
      <c r="E45" s="218" t="s">
        <v>331</v>
      </c>
      <c r="F45" s="235" t="s">
        <v>431</v>
      </c>
      <c r="G45" s="258">
        <v>394675</v>
      </c>
    </row>
    <row r="46" spans="1:7" ht="16.5" customHeight="1">
      <c r="A46" s="236"/>
      <c r="B46" s="236">
        <f>80950+65900</f>
        <v>146850</v>
      </c>
      <c r="C46" s="236">
        <f>80950+65900</f>
        <v>146850</v>
      </c>
      <c r="D46" s="258">
        <f>16570+15810+16190+16190+16190+16190+16570+16570</f>
        <v>130280</v>
      </c>
      <c r="E46" s="218" t="s">
        <v>465</v>
      </c>
      <c r="F46" s="235" t="s">
        <v>431</v>
      </c>
      <c r="G46" s="258">
        <v>16570</v>
      </c>
    </row>
    <row r="47" spans="1:7" ht="16.5" customHeight="1">
      <c r="A47" s="259">
        <v>182000</v>
      </c>
      <c r="B47" s="259"/>
      <c r="C47" s="259">
        <f>182000</f>
        <v>182000</v>
      </c>
      <c r="D47" s="258">
        <f>13285+13285+13285+13385+13310+13310+13760+13760</f>
        <v>107380</v>
      </c>
      <c r="E47" s="218" t="s">
        <v>332</v>
      </c>
      <c r="F47" s="235" t="s">
        <v>431</v>
      </c>
      <c r="G47" s="258">
        <v>13760</v>
      </c>
    </row>
    <row r="48" spans="1:7" ht="16.5" customHeight="1">
      <c r="A48" s="244">
        <v>1792000</v>
      </c>
      <c r="B48" s="244"/>
      <c r="C48" s="244">
        <f>1792000</f>
        <v>1792000</v>
      </c>
      <c r="D48" s="258">
        <f>353010+117670+117670+117670+111203+100050</f>
        <v>917273</v>
      </c>
      <c r="E48" s="218" t="s">
        <v>333</v>
      </c>
      <c r="F48" s="235" t="s">
        <v>431</v>
      </c>
      <c r="G48" s="258">
        <v>100050</v>
      </c>
    </row>
    <row r="49" spans="1:7" ht="16.5" customHeight="1">
      <c r="A49" s="244"/>
      <c r="B49" s="244">
        <f>50000+40000</f>
        <v>90000</v>
      </c>
      <c r="C49" s="244">
        <f>50000+40000</f>
        <v>90000</v>
      </c>
      <c r="D49" s="258">
        <f>9000+10000+10000+11000+10000+10000+10000+10000</f>
        <v>80000</v>
      </c>
      <c r="E49" s="218" t="s">
        <v>466</v>
      </c>
      <c r="F49" s="235" t="s">
        <v>431</v>
      </c>
      <c r="G49" s="258">
        <v>10000</v>
      </c>
    </row>
    <row r="50" spans="1:7" ht="16.5" customHeight="1">
      <c r="A50" s="244">
        <v>1014000</v>
      </c>
      <c r="B50" s="244"/>
      <c r="C50" s="244">
        <f>1014000-50000</f>
        <v>964000</v>
      </c>
      <c r="D50" s="258">
        <f>33160+36531+23500+32150+27280+35163+23500+24500</f>
        <v>235784</v>
      </c>
      <c r="E50" s="218" t="s">
        <v>6</v>
      </c>
      <c r="F50" s="235" t="s">
        <v>432</v>
      </c>
      <c r="G50" s="258">
        <v>24500</v>
      </c>
    </row>
    <row r="51" spans="1:7" ht="16.5" customHeight="1">
      <c r="A51" s="244">
        <v>3217600</v>
      </c>
      <c r="B51" s="244"/>
      <c r="C51" s="244">
        <f>3217600+40000</f>
        <v>3257600</v>
      </c>
      <c r="D51" s="258">
        <f>18904+240248.7+95004.04+281383.07+527412.92+124000.79+362204.59+51551</f>
        <v>1700709.11</v>
      </c>
      <c r="E51" s="218" t="s">
        <v>7</v>
      </c>
      <c r="F51" s="235" t="s">
        <v>358</v>
      </c>
      <c r="G51" s="258">
        <v>51551</v>
      </c>
    </row>
    <row r="52" spans="1:7" ht="16.5" customHeight="1">
      <c r="A52" s="244"/>
      <c r="B52" s="244">
        <v>63700</v>
      </c>
      <c r="C52" s="244">
        <v>63700</v>
      </c>
      <c r="D52" s="258">
        <f>63700</f>
        <v>63700</v>
      </c>
      <c r="E52" s="218" t="s">
        <v>506</v>
      </c>
      <c r="F52" s="235" t="s">
        <v>358</v>
      </c>
      <c r="G52" s="258">
        <v>63700</v>
      </c>
    </row>
    <row r="53" spans="1:7" ht="16.5" customHeight="1">
      <c r="A53" s="244">
        <v>1814570</v>
      </c>
      <c r="B53" s="244"/>
      <c r="C53" s="244">
        <f>1814570+10000</f>
        <v>1824570</v>
      </c>
      <c r="D53" s="258">
        <f>25396+9605+122230.62+56350+184713.8+273857.04+103299.06+9315</f>
        <v>784766.52</v>
      </c>
      <c r="E53" s="218" t="s">
        <v>8</v>
      </c>
      <c r="F53" s="235" t="s">
        <v>433</v>
      </c>
      <c r="G53" s="258">
        <v>9315</v>
      </c>
    </row>
    <row r="54" spans="1:7" ht="16.5" customHeight="1">
      <c r="A54" s="244">
        <v>376000</v>
      </c>
      <c r="B54" s="244"/>
      <c r="C54" s="244">
        <f>376000</f>
        <v>376000</v>
      </c>
      <c r="D54" s="258">
        <f>22325.18+21398.69+35586.46+17354.4+17917.7+23555.48+9153.86+46774.84</f>
        <v>194066.60999999996</v>
      </c>
      <c r="E54" s="218" t="s">
        <v>9</v>
      </c>
      <c r="F54" s="235" t="s">
        <v>434</v>
      </c>
      <c r="G54" s="258">
        <v>46774.84</v>
      </c>
    </row>
    <row r="55" spans="1:7" ht="16.5" customHeight="1">
      <c r="A55" s="244">
        <v>1158600</v>
      </c>
      <c r="B55" s="244"/>
      <c r="C55" s="244">
        <f>1158600</f>
        <v>1158600</v>
      </c>
      <c r="D55" s="258">
        <f>2050+45717.27+5520+19750+16950+9060+99423.15</f>
        <v>198470.41999999998</v>
      </c>
      <c r="E55" s="218" t="s">
        <v>54</v>
      </c>
      <c r="F55" s="235" t="s">
        <v>435</v>
      </c>
      <c r="G55" s="258">
        <v>0</v>
      </c>
    </row>
    <row r="56" spans="1:7" ht="16.5" customHeight="1">
      <c r="A56" s="244">
        <v>2928000</v>
      </c>
      <c r="B56" s="244"/>
      <c r="C56" s="244">
        <f>2928000</f>
        <v>2928000</v>
      </c>
      <c r="D56" s="258">
        <f>143000+891600</f>
        <v>1034600</v>
      </c>
      <c r="E56" s="218" t="s">
        <v>55</v>
      </c>
      <c r="F56" s="235" t="s">
        <v>342</v>
      </c>
      <c r="G56" s="258">
        <v>891600</v>
      </c>
    </row>
    <row r="57" spans="1:7" ht="16.5" customHeight="1">
      <c r="A57" s="244"/>
      <c r="B57" s="244">
        <v>1110000</v>
      </c>
      <c r="C57" s="244">
        <v>1110000</v>
      </c>
      <c r="D57" s="258">
        <v>1110000</v>
      </c>
      <c r="E57" s="218" t="s">
        <v>542</v>
      </c>
      <c r="F57" s="235" t="s">
        <v>342</v>
      </c>
      <c r="G57" s="258">
        <v>1110000</v>
      </c>
    </row>
    <row r="58" spans="1:7" ht="16.5" customHeight="1">
      <c r="A58" s="244"/>
      <c r="B58" s="244">
        <v>546595</v>
      </c>
      <c r="C58" s="244">
        <v>546595</v>
      </c>
      <c r="D58" s="258"/>
      <c r="E58" s="218" t="s">
        <v>557</v>
      </c>
      <c r="F58" s="235"/>
      <c r="G58" s="258"/>
    </row>
    <row r="59" spans="1:7" ht="16.5" customHeight="1">
      <c r="A59" s="244"/>
      <c r="B59" s="244"/>
      <c r="C59" s="244"/>
      <c r="D59" s="258"/>
      <c r="E59" s="218" t="s">
        <v>558</v>
      </c>
      <c r="F59" s="235"/>
      <c r="G59" s="258"/>
    </row>
    <row r="60" spans="1:7" ht="16.5" customHeight="1">
      <c r="A60" s="244"/>
      <c r="B60" s="244">
        <v>2671700</v>
      </c>
      <c r="C60" s="244">
        <v>2671700</v>
      </c>
      <c r="D60" s="258"/>
      <c r="E60" s="218" t="s">
        <v>559</v>
      </c>
      <c r="F60" s="235"/>
      <c r="G60" s="258"/>
    </row>
    <row r="61" spans="1:7" ht="16.5" customHeight="1">
      <c r="A61" s="244"/>
      <c r="B61" s="244"/>
      <c r="C61" s="244"/>
      <c r="D61" s="258"/>
      <c r="E61" s="218" t="s">
        <v>560</v>
      </c>
      <c r="F61" s="235"/>
      <c r="G61" s="258"/>
    </row>
    <row r="62" spans="1:7" ht="16.5" customHeight="1">
      <c r="A62" s="244">
        <v>2305000</v>
      </c>
      <c r="B62" s="244"/>
      <c r="C62" s="244">
        <v>2305000</v>
      </c>
      <c r="D62" s="258">
        <f>384580+590940+10000+304260</f>
        <v>1289780</v>
      </c>
      <c r="E62" s="218" t="s">
        <v>32</v>
      </c>
      <c r="F62" s="235" t="s">
        <v>436</v>
      </c>
      <c r="G62" s="258">
        <v>304260</v>
      </c>
    </row>
    <row r="63" spans="1:7" ht="16.5" customHeight="1">
      <c r="A63" s="244"/>
      <c r="B63" s="244"/>
      <c r="C63" s="244"/>
      <c r="D63" s="258"/>
      <c r="E63" s="218"/>
      <c r="F63" s="235"/>
      <c r="G63" s="258"/>
    </row>
    <row r="64" spans="1:7" ht="16.5" customHeight="1">
      <c r="A64" s="250">
        <f>SUM(A40:A63)</f>
        <v>23174550</v>
      </c>
      <c r="B64" s="250">
        <f>SUM(B41:B62)</f>
        <v>10783645</v>
      </c>
      <c r="C64" s="250">
        <f>SUM(C40:C63)</f>
        <v>33958195</v>
      </c>
      <c r="D64" s="260">
        <f>SUM(D40:D62)</f>
        <v>19308594.659999996</v>
      </c>
      <c r="E64" s="225" t="s">
        <v>19</v>
      </c>
      <c r="F64" s="235"/>
      <c r="G64" s="250">
        <f>SUM(G40:G63)</f>
        <v>4095232.84</v>
      </c>
    </row>
    <row r="65" spans="1:7" ht="15.75" customHeight="1">
      <c r="A65" s="244"/>
      <c r="B65" s="244"/>
      <c r="C65" s="244"/>
      <c r="D65" s="258">
        <f>10400+77000+13900+27700+313300+189850+500+24900</f>
        <v>657550</v>
      </c>
      <c r="E65" s="218" t="s">
        <v>407</v>
      </c>
      <c r="F65" s="235" t="s">
        <v>437</v>
      </c>
      <c r="G65" s="244">
        <v>24900</v>
      </c>
    </row>
    <row r="66" spans="1:7" ht="16.5" customHeight="1">
      <c r="A66" s="244"/>
      <c r="B66" s="244"/>
      <c r="C66" s="244"/>
      <c r="D66" s="245">
        <f>785920+783490+544890+557800</f>
        <v>2672100</v>
      </c>
      <c r="E66" s="218" t="s">
        <v>448</v>
      </c>
      <c r="F66" s="235" t="s">
        <v>449</v>
      </c>
      <c r="G66" s="244">
        <v>557800</v>
      </c>
    </row>
    <row r="67" spans="1:7" ht="16.5" customHeight="1">
      <c r="A67" s="244"/>
      <c r="B67" s="244"/>
      <c r="C67" s="244"/>
      <c r="D67" s="245">
        <f>1569410+544890+557800</f>
        <v>2672100</v>
      </c>
      <c r="E67" s="218" t="s">
        <v>450</v>
      </c>
      <c r="F67" s="235" t="s">
        <v>451</v>
      </c>
      <c r="G67" s="244">
        <v>557800</v>
      </c>
    </row>
    <row r="68" spans="1:7" ht="16.5" customHeight="1">
      <c r="A68" s="244"/>
      <c r="B68" s="244"/>
      <c r="C68" s="244"/>
      <c r="D68" s="258">
        <f>154000+40000+376000+70000+63000</f>
        <v>703000</v>
      </c>
      <c r="E68" s="218" t="s">
        <v>441</v>
      </c>
      <c r="F68" s="235" t="s">
        <v>439</v>
      </c>
      <c r="G68" s="258">
        <v>0</v>
      </c>
    </row>
    <row r="69" spans="1:7" ht="16.5" customHeight="1">
      <c r="A69" s="244"/>
      <c r="B69" s="244"/>
      <c r="C69" s="244"/>
      <c r="D69" s="258">
        <f>231482.61+22255.07+286867.84+28084.4+61655.14+279583.74+267815.56+301388.69</f>
        <v>1479133.05</v>
      </c>
      <c r="E69" s="218" t="s">
        <v>134</v>
      </c>
      <c r="F69" s="235" t="s">
        <v>443</v>
      </c>
      <c r="G69" s="258">
        <v>301388.69</v>
      </c>
    </row>
    <row r="70" spans="1:7" ht="16.5" customHeight="1">
      <c r="A70" s="244"/>
      <c r="B70" s="244"/>
      <c r="C70" s="244"/>
      <c r="D70" s="258">
        <f>399873.04+193068</f>
        <v>592941.04</v>
      </c>
      <c r="E70" s="218" t="s">
        <v>408</v>
      </c>
      <c r="F70" s="235" t="s">
        <v>444</v>
      </c>
      <c r="G70" s="258">
        <v>0</v>
      </c>
    </row>
    <row r="71" spans="1:7" ht="16.5" customHeight="1">
      <c r="A71" s="244"/>
      <c r="B71" s="244"/>
      <c r="C71" s="244"/>
      <c r="D71" s="258">
        <f>964000+448800+815000+764200+407100+488000</f>
        <v>3887100</v>
      </c>
      <c r="E71" s="218" t="s">
        <v>10</v>
      </c>
      <c r="F71" s="235" t="s">
        <v>432</v>
      </c>
      <c r="G71" s="258">
        <v>488000</v>
      </c>
    </row>
    <row r="72" spans="1:7" ht="16.5" customHeight="1">
      <c r="A72" s="244"/>
      <c r="B72" s="244"/>
      <c r="C72" s="244"/>
      <c r="D72" s="258"/>
      <c r="E72" s="218"/>
      <c r="F72" s="235"/>
      <c r="G72" s="258"/>
    </row>
    <row r="73" spans="1:7" ht="16.5" customHeight="1">
      <c r="A73" s="244"/>
      <c r="B73" s="244"/>
      <c r="C73" s="244"/>
      <c r="D73" s="258"/>
      <c r="E73" s="218"/>
      <c r="F73" s="235"/>
      <c r="G73" s="258"/>
    </row>
    <row r="74" spans="1:7" ht="16.5" customHeight="1">
      <c r="A74" s="244"/>
      <c r="B74" s="244"/>
      <c r="C74" s="244"/>
      <c r="D74" s="258"/>
      <c r="E74" s="219"/>
      <c r="F74" s="235"/>
      <c r="G74" s="258"/>
    </row>
    <row r="75" spans="1:7" ht="16.5" customHeight="1">
      <c r="A75" s="244"/>
      <c r="B75" s="244"/>
      <c r="C75" s="244"/>
      <c r="D75" s="248">
        <f>SUM(D65:D74)</f>
        <v>12663924.09</v>
      </c>
      <c r="E75" s="225" t="s">
        <v>19</v>
      </c>
      <c r="F75" s="235"/>
      <c r="G75" s="250">
        <f>SUM(G65:G74)</f>
        <v>1929888.69</v>
      </c>
    </row>
    <row r="76" spans="1:7" ht="16.5" customHeight="1">
      <c r="A76" s="244"/>
      <c r="B76" s="244"/>
      <c r="C76" s="244"/>
      <c r="D76" s="243">
        <f>SUM(D75,D64)</f>
        <v>31972518.749999996</v>
      </c>
      <c r="E76" s="225" t="s">
        <v>420</v>
      </c>
      <c r="F76" s="235"/>
      <c r="G76" s="243">
        <f>SUM(G75,G64)</f>
        <v>6025121.529999999</v>
      </c>
    </row>
    <row r="77" spans="1:7" ht="16.5" customHeight="1">
      <c r="A77" s="244"/>
      <c r="B77" s="244"/>
      <c r="C77" s="244"/>
      <c r="D77" s="248">
        <f>SUM(D29-D76)</f>
        <v>1519917.120000001</v>
      </c>
      <c r="E77" s="225" t="s">
        <v>421</v>
      </c>
      <c r="F77" s="235"/>
      <c r="G77" s="250">
        <f>SUM(G29-G76)</f>
        <v>-43234.58999999985</v>
      </c>
    </row>
    <row r="78" spans="1:7" ht="16.5" customHeight="1" thickBot="1">
      <c r="A78" s="261"/>
      <c r="B78" s="244"/>
      <c r="C78" s="244"/>
      <c r="D78" s="262">
        <f>D8+D77</f>
        <v>34139954.03</v>
      </c>
      <c r="E78" s="223" t="s">
        <v>422</v>
      </c>
      <c r="F78" s="263"/>
      <c r="G78" s="262">
        <f>G8+G77</f>
        <v>34139954.03</v>
      </c>
    </row>
    <row r="79" spans="1:7" ht="16.5" customHeight="1" thickTop="1">
      <c r="A79" s="253"/>
      <c r="B79" s="253"/>
      <c r="C79" s="253"/>
      <c r="D79" s="254"/>
      <c r="E79" s="222"/>
      <c r="F79" s="255"/>
      <c r="G79" s="254"/>
    </row>
    <row r="80" spans="1:7" ht="16.5" customHeight="1">
      <c r="A80" s="253"/>
      <c r="B80" s="253"/>
      <c r="C80" s="253"/>
      <c r="D80" s="254"/>
      <c r="E80" s="222"/>
      <c r="F80" s="255"/>
      <c r="G80" s="254"/>
    </row>
    <row r="81" spans="1:7" ht="16.5" customHeight="1">
      <c r="A81" s="253"/>
      <c r="B81" s="253"/>
      <c r="C81" s="253"/>
      <c r="D81" s="254"/>
      <c r="E81" s="222"/>
      <c r="F81" s="255"/>
      <c r="G81" s="254"/>
    </row>
    <row r="82" spans="1:7" ht="16.5" customHeight="1">
      <c r="A82" s="253"/>
      <c r="B82" s="253"/>
      <c r="C82" s="253"/>
      <c r="D82" s="254"/>
      <c r="E82" s="222"/>
      <c r="F82" s="255"/>
      <c r="G82" s="254"/>
    </row>
    <row r="83" spans="1:7" ht="16.5" customHeight="1">
      <c r="A83" s="253"/>
      <c r="B83" s="253"/>
      <c r="C83" s="253"/>
      <c r="D83" s="254"/>
      <c r="E83" s="222"/>
      <c r="F83" s="255"/>
      <c r="G83" s="254"/>
    </row>
    <row r="84" spans="1:7" ht="16.5" customHeight="1">
      <c r="A84" s="253"/>
      <c r="B84" s="253"/>
      <c r="C84" s="253"/>
      <c r="D84" s="254"/>
      <c r="E84" s="222"/>
      <c r="F84" s="255"/>
      <c r="G84" s="254"/>
    </row>
    <row r="85" spans="1:7" ht="16.5" customHeight="1">
      <c r="A85" s="253"/>
      <c r="B85" s="253"/>
      <c r="C85" s="253"/>
      <c r="D85" s="254"/>
      <c r="E85" s="222"/>
      <c r="F85" s="255"/>
      <c r="G85" s="254"/>
    </row>
    <row r="86" spans="1:7" ht="16.5" customHeight="1">
      <c r="A86" s="253"/>
      <c r="B86" s="253"/>
      <c r="C86" s="253"/>
      <c r="D86" s="254"/>
      <c r="E86" s="222"/>
      <c r="F86" s="255"/>
      <c r="G86" s="254"/>
    </row>
    <row r="87" spans="1:7" ht="16.5" customHeight="1">
      <c r="A87" s="253"/>
      <c r="B87" s="253"/>
      <c r="C87" s="253"/>
      <c r="D87" s="254"/>
      <c r="E87" s="222"/>
      <c r="F87" s="255"/>
      <c r="G87" s="254"/>
    </row>
    <row r="88" spans="1:7" ht="16.5" customHeight="1">
      <c r="A88" s="253"/>
      <c r="B88" s="253"/>
      <c r="C88" s="253"/>
      <c r="D88" s="254"/>
      <c r="E88" s="222"/>
      <c r="F88" s="255"/>
      <c r="G88" s="254"/>
    </row>
    <row r="89" spans="1:7" ht="16.5" customHeight="1">
      <c r="A89" s="253"/>
      <c r="B89" s="253"/>
      <c r="C89" s="253"/>
      <c r="D89" s="254"/>
      <c r="E89" s="222"/>
      <c r="F89" s="255"/>
      <c r="G89" s="254"/>
    </row>
    <row r="90" spans="1:7" ht="16.5" customHeight="1">
      <c r="A90" s="218" t="s">
        <v>12</v>
      </c>
      <c r="B90" s="218"/>
      <c r="C90" s="218"/>
      <c r="D90" s="264"/>
      <c r="E90" s="224"/>
      <c r="F90" s="224"/>
      <c r="G90" s="224"/>
    </row>
    <row r="91" spans="1:7" ht="16.5" customHeight="1">
      <c r="A91" s="265" t="s">
        <v>13</v>
      </c>
      <c r="B91" s="265"/>
      <c r="C91" s="265"/>
      <c r="D91" s="264"/>
      <c r="E91" s="224"/>
      <c r="F91" s="224"/>
      <c r="G91" s="266"/>
    </row>
    <row r="92" spans="1:7" ht="16.5" customHeight="1">
      <c r="A92" s="265"/>
      <c r="B92" s="265"/>
      <c r="C92" s="265"/>
      <c r="D92" s="264"/>
      <c r="E92" s="224"/>
      <c r="F92" s="224"/>
      <c r="G92" s="266"/>
    </row>
    <row r="93" spans="1:7" ht="16.5" customHeight="1">
      <c r="A93" s="265"/>
      <c r="B93" s="265"/>
      <c r="C93" s="265"/>
      <c r="D93" s="264"/>
      <c r="E93" s="224"/>
      <c r="F93" s="224"/>
      <c r="G93" s="266"/>
    </row>
    <row r="94" spans="1:7" ht="16.5" customHeight="1">
      <c r="A94" s="313" t="s">
        <v>16</v>
      </c>
      <c r="B94" s="313"/>
      <c r="C94" s="313"/>
      <c r="D94" s="313"/>
      <c r="E94" s="313"/>
      <c r="F94" s="313"/>
      <c r="G94" s="313"/>
    </row>
    <row r="95" spans="1:7" ht="16.5" customHeight="1">
      <c r="A95" s="313" t="s">
        <v>89</v>
      </c>
      <c r="B95" s="313"/>
      <c r="C95" s="313"/>
      <c r="D95" s="313"/>
      <c r="E95" s="313"/>
      <c r="F95" s="313"/>
      <c r="G95" s="313"/>
    </row>
    <row r="96" spans="1:7" ht="16.5" customHeight="1">
      <c r="A96" s="225"/>
      <c r="B96" s="225"/>
      <c r="C96" s="225"/>
      <c r="D96" s="225"/>
      <c r="E96" s="225"/>
      <c r="F96" s="225"/>
      <c r="G96" s="225"/>
    </row>
    <row r="97" spans="1:7" ht="16.5" customHeight="1">
      <c r="A97" s="313" t="s">
        <v>14</v>
      </c>
      <c r="B97" s="313"/>
      <c r="C97" s="313"/>
      <c r="D97" s="313"/>
      <c r="E97" s="313"/>
      <c r="F97" s="313"/>
      <c r="G97" s="313"/>
    </row>
    <row r="98" spans="1:7" ht="16.5" customHeight="1">
      <c r="A98" s="225"/>
      <c r="B98" s="225"/>
      <c r="C98" s="225"/>
      <c r="D98" s="225"/>
      <c r="E98" s="225"/>
      <c r="F98" s="225"/>
      <c r="G98" s="225"/>
    </row>
    <row r="99" spans="1:7" ht="16.5" customHeight="1">
      <c r="A99" s="225"/>
      <c r="B99" s="225"/>
      <c r="C99" s="225"/>
      <c r="D99" s="225"/>
      <c r="E99" s="225"/>
      <c r="F99" s="225"/>
      <c r="G99" s="225"/>
    </row>
    <row r="100" spans="1:7" ht="16.5" customHeight="1">
      <c r="A100" s="313" t="s">
        <v>124</v>
      </c>
      <c r="B100" s="313"/>
      <c r="C100" s="313"/>
      <c r="D100" s="313"/>
      <c r="E100" s="313"/>
      <c r="F100" s="313"/>
      <c r="G100" s="313"/>
    </row>
    <row r="101" spans="1:7" ht="16.5" customHeight="1">
      <c r="A101" s="313" t="s">
        <v>15</v>
      </c>
      <c r="B101" s="313"/>
      <c r="C101" s="313"/>
      <c r="D101" s="313"/>
      <c r="E101" s="313"/>
      <c r="F101" s="313"/>
      <c r="G101" s="313"/>
    </row>
    <row r="102" spans="1:7" ht="16.5" customHeight="1">
      <c r="A102" s="312">
        <v>240847</v>
      </c>
      <c r="B102" s="312"/>
      <c r="C102" s="312"/>
      <c r="D102" s="312"/>
      <c r="E102" s="312"/>
      <c r="F102" s="312"/>
      <c r="G102" s="312"/>
    </row>
    <row r="103" spans="1:7" ht="18" customHeight="1">
      <c r="A103" s="226"/>
      <c r="B103" s="226"/>
      <c r="C103" s="226"/>
      <c r="D103" s="226"/>
      <c r="E103" s="226"/>
      <c r="F103" s="226"/>
      <c r="G103" s="226"/>
    </row>
    <row r="104" spans="1:7" ht="18" customHeight="1">
      <c r="A104" s="226"/>
      <c r="B104" s="226"/>
      <c r="C104" s="226"/>
      <c r="D104" s="226"/>
      <c r="E104" s="226"/>
      <c r="F104" s="226"/>
      <c r="G104" s="226"/>
    </row>
    <row r="105" spans="1:7" ht="18" customHeight="1">
      <c r="A105" s="226"/>
      <c r="B105" s="226"/>
      <c r="C105" s="226"/>
      <c r="D105" s="226"/>
      <c r="E105" s="226"/>
      <c r="F105" s="226"/>
      <c r="G105" s="226"/>
    </row>
    <row r="106" spans="1:7" ht="18" customHeight="1">
      <c r="A106" s="226"/>
      <c r="B106" s="226"/>
      <c r="C106" s="226"/>
      <c r="D106" s="226"/>
      <c r="E106" s="226"/>
      <c r="F106" s="226"/>
      <c r="G106" s="226"/>
    </row>
    <row r="107" spans="1:7" ht="18" customHeight="1">
      <c r="A107" s="226"/>
      <c r="B107" s="226"/>
      <c r="C107" s="226"/>
      <c r="D107" s="226"/>
      <c r="E107" s="226"/>
      <c r="F107" s="226"/>
      <c r="G107" s="226"/>
    </row>
    <row r="108" spans="1:7" ht="18" customHeight="1">
      <c r="A108" s="226"/>
      <c r="B108" s="226"/>
      <c r="C108" s="226"/>
      <c r="D108" s="226"/>
      <c r="E108" s="226"/>
      <c r="F108" s="226"/>
      <c r="G108" s="226"/>
    </row>
    <row r="109" spans="1:7" ht="18" customHeight="1">
      <c r="A109" s="226"/>
      <c r="B109" s="226"/>
      <c r="C109" s="226"/>
      <c r="D109" s="226"/>
      <c r="E109" s="226"/>
      <c r="F109" s="226"/>
      <c r="G109" s="226"/>
    </row>
    <row r="110" spans="1:7" ht="18" customHeight="1">
      <c r="A110" s="226"/>
      <c r="B110" s="226"/>
      <c r="C110" s="226"/>
      <c r="D110" s="226"/>
      <c r="E110" s="226"/>
      <c r="F110" s="226"/>
      <c r="G110" s="226"/>
    </row>
    <row r="111" spans="1:7" ht="18" customHeight="1">
      <c r="A111" s="226"/>
      <c r="B111" s="226"/>
      <c r="C111" s="226"/>
      <c r="D111" s="226"/>
      <c r="E111" s="226"/>
      <c r="F111" s="226"/>
      <c r="G111" s="226"/>
    </row>
    <row r="112" spans="1:7" ht="18" customHeight="1">
      <c r="A112" s="226"/>
      <c r="B112" s="226"/>
      <c r="C112" s="226"/>
      <c r="D112" s="226"/>
      <c r="E112" s="226"/>
      <c r="F112" s="226"/>
      <c r="G112" s="226"/>
    </row>
    <row r="113" spans="1:7" ht="18" customHeight="1">
      <c r="A113" s="226"/>
      <c r="B113" s="226"/>
      <c r="C113" s="226"/>
      <c r="D113" s="226"/>
      <c r="E113" s="226"/>
      <c r="F113" s="226"/>
      <c r="G113" s="226"/>
    </row>
    <row r="114" spans="1:7" ht="18" customHeight="1">
      <c r="A114" s="226"/>
      <c r="B114" s="226"/>
      <c r="C114" s="226"/>
      <c r="D114" s="226"/>
      <c r="E114" s="226"/>
      <c r="F114" s="226"/>
      <c r="G114" s="226"/>
    </row>
    <row r="115" spans="1:7" ht="18" customHeight="1">
      <c r="A115" s="226"/>
      <c r="B115" s="226"/>
      <c r="C115" s="226"/>
      <c r="D115" s="226"/>
      <c r="E115" s="226"/>
      <c r="F115" s="226"/>
      <c r="G115" s="226"/>
    </row>
    <row r="116" spans="1:7" ht="18" customHeight="1">
      <c r="A116" s="226"/>
      <c r="B116" s="226"/>
      <c r="C116" s="226"/>
      <c r="D116" s="226"/>
      <c r="E116" s="226"/>
      <c r="F116" s="226"/>
      <c r="G116" s="226"/>
    </row>
    <row r="117" spans="1:7" ht="18" customHeight="1">
      <c r="A117" s="226"/>
      <c r="B117" s="226"/>
      <c r="C117" s="226"/>
      <c r="D117" s="226"/>
      <c r="E117" s="226"/>
      <c r="F117" s="226"/>
      <c r="G117" s="226"/>
    </row>
    <row r="118" spans="1:7" ht="18" customHeight="1">
      <c r="A118" s="226"/>
      <c r="B118" s="226"/>
      <c r="C118" s="226"/>
      <c r="D118" s="226"/>
      <c r="E118" s="226"/>
      <c r="F118" s="226"/>
      <c r="G118" s="226"/>
    </row>
    <row r="119" spans="1:7" ht="18" customHeight="1">
      <c r="A119" s="226"/>
      <c r="B119" s="226"/>
      <c r="C119" s="226"/>
      <c r="D119" s="226"/>
      <c r="E119" s="226"/>
      <c r="F119" s="226"/>
      <c r="G119" s="226"/>
    </row>
    <row r="120" spans="1:7" ht="18" customHeight="1">
      <c r="A120" s="226"/>
      <c r="B120" s="226"/>
      <c r="C120" s="226"/>
      <c r="D120" s="226"/>
      <c r="E120" s="226"/>
      <c r="F120" s="226"/>
      <c r="G120" s="226"/>
    </row>
    <row r="121" spans="1:7" ht="18" customHeight="1">
      <c r="A121" s="226"/>
      <c r="B121" s="226"/>
      <c r="C121" s="226"/>
      <c r="D121" s="226"/>
      <c r="E121" s="226"/>
      <c r="F121" s="226"/>
      <c r="G121" s="226"/>
    </row>
    <row r="122" spans="1:7" ht="18" customHeight="1">
      <c r="A122" s="226"/>
      <c r="B122" s="226"/>
      <c r="C122" s="226"/>
      <c r="D122" s="226"/>
      <c r="E122" s="226"/>
      <c r="F122" s="226"/>
      <c r="G122" s="226"/>
    </row>
    <row r="123" spans="1:7" ht="18" customHeight="1">
      <c r="A123" s="226"/>
      <c r="B123" s="226"/>
      <c r="C123" s="226"/>
      <c r="D123" s="226"/>
      <c r="E123" s="226"/>
      <c r="F123" s="226"/>
      <c r="G123" s="226"/>
    </row>
    <row r="124" spans="1:7" ht="18" customHeight="1">
      <c r="A124" s="226"/>
      <c r="B124" s="226"/>
      <c r="C124" s="226"/>
      <c r="D124" s="226"/>
      <c r="E124" s="226"/>
      <c r="F124" s="226"/>
      <c r="G124" s="226"/>
    </row>
    <row r="125" spans="1:7" ht="18" customHeight="1">
      <c r="A125" s="226"/>
      <c r="B125" s="226"/>
      <c r="C125" s="226"/>
      <c r="D125" s="226"/>
      <c r="E125" s="226"/>
      <c r="F125" s="226"/>
      <c r="G125" s="226"/>
    </row>
    <row r="126" spans="1:7" ht="18" customHeight="1">
      <c r="A126" s="226"/>
      <c r="B126" s="226"/>
      <c r="C126" s="226"/>
      <c r="D126" s="226"/>
      <c r="E126" s="226"/>
      <c r="F126" s="226"/>
      <c r="G126" s="226"/>
    </row>
    <row r="127" spans="1:7" ht="18" customHeight="1">
      <c r="A127" s="226"/>
      <c r="B127" s="226"/>
      <c r="C127" s="226"/>
      <c r="D127" s="226"/>
      <c r="E127" s="226"/>
      <c r="F127" s="226"/>
      <c r="G127" s="226"/>
    </row>
    <row r="128" spans="1:7" ht="18" customHeight="1">
      <c r="A128" s="226"/>
      <c r="B128" s="226"/>
      <c r="C128" s="226"/>
      <c r="D128" s="226"/>
      <c r="E128" s="226"/>
      <c r="F128" s="226"/>
      <c r="G128" s="226"/>
    </row>
    <row r="129" spans="1:7" ht="18" customHeight="1">
      <c r="A129" s="226"/>
      <c r="B129" s="226"/>
      <c r="C129" s="226"/>
      <c r="D129" s="226"/>
      <c r="E129" s="226"/>
      <c r="F129" s="226"/>
      <c r="G129" s="226"/>
    </row>
    <row r="130" spans="1:7" ht="18" customHeight="1">
      <c r="A130" s="226"/>
      <c r="B130" s="226"/>
      <c r="C130" s="226"/>
      <c r="D130" s="226"/>
      <c r="E130" s="226"/>
      <c r="F130" s="226"/>
      <c r="G130" s="226"/>
    </row>
    <row r="131" spans="1:7" ht="18" customHeight="1">
      <c r="A131" s="226"/>
      <c r="B131" s="226"/>
      <c r="C131" s="226"/>
      <c r="D131" s="226"/>
      <c r="E131" s="226"/>
      <c r="F131" s="226"/>
      <c r="G131" s="226"/>
    </row>
    <row r="132" spans="1:7" ht="18" customHeight="1">
      <c r="A132" s="312" t="s">
        <v>63</v>
      </c>
      <c r="B132" s="312"/>
      <c r="C132" s="312"/>
      <c r="D132" s="312"/>
      <c r="E132" s="312"/>
      <c r="F132" s="312"/>
      <c r="G132" s="312"/>
    </row>
    <row r="133" spans="1:7" ht="19.5" customHeight="1">
      <c r="A133" s="309" t="s">
        <v>423</v>
      </c>
      <c r="B133" s="309"/>
      <c r="C133" s="309"/>
      <c r="D133" s="309"/>
      <c r="E133" s="309"/>
      <c r="F133" s="309"/>
      <c r="G133" s="309"/>
    </row>
    <row r="134" spans="1:7" ht="19.5" customHeight="1">
      <c r="A134" s="309" t="s">
        <v>545</v>
      </c>
      <c r="B134" s="309"/>
      <c r="C134" s="309"/>
      <c r="D134" s="309"/>
      <c r="E134" s="309"/>
      <c r="F134" s="309"/>
      <c r="G134" s="309"/>
    </row>
    <row r="135" spans="1:7" ht="19.5" customHeight="1">
      <c r="A135" s="310" t="s">
        <v>424</v>
      </c>
      <c r="B135" s="310"/>
      <c r="C135" s="310"/>
      <c r="D135" s="310"/>
      <c r="E135" s="310"/>
      <c r="F135" s="310"/>
      <c r="G135" s="310"/>
    </row>
    <row r="136" spans="1:7" ht="19.5" customHeight="1">
      <c r="A136" s="269"/>
      <c r="B136" s="269"/>
      <c r="C136" s="269"/>
      <c r="D136" s="269"/>
      <c r="E136" s="269"/>
      <c r="F136" s="269"/>
      <c r="G136" s="227" t="s">
        <v>69</v>
      </c>
    </row>
    <row r="137" spans="1:7" ht="19.5" customHeight="1">
      <c r="A137" s="308" t="s">
        <v>126</v>
      </c>
      <c r="B137" s="308"/>
      <c r="C137" s="308"/>
      <c r="D137" s="308"/>
      <c r="E137" s="227"/>
      <c r="F137" s="227"/>
      <c r="G137" s="223">
        <v>25377.69</v>
      </c>
    </row>
    <row r="138" spans="1:7" ht="19.5" customHeight="1">
      <c r="A138" s="308" t="s">
        <v>17</v>
      </c>
      <c r="B138" s="308"/>
      <c r="C138" s="228"/>
      <c r="D138" s="228"/>
      <c r="E138" s="227"/>
      <c r="F138" s="227"/>
      <c r="G138" s="223">
        <v>55387</v>
      </c>
    </row>
    <row r="139" spans="1:7" ht="19.5" customHeight="1">
      <c r="A139" s="228" t="s">
        <v>361</v>
      </c>
      <c r="B139" s="228"/>
      <c r="C139" s="228"/>
      <c r="D139" s="228"/>
      <c r="E139" s="227"/>
      <c r="F139" s="227"/>
      <c r="G139" s="223">
        <v>720.3</v>
      </c>
    </row>
    <row r="140" spans="1:7" ht="19.5" customHeight="1">
      <c r="A140" s="228" t="s">
        <v>18</v>
      </c>
      <c r="B140" s="228"/>
      <c r="C140" s="228"/>
      <c r="D140" s="228"/>
      <c r="E140" s="227"/>
      <c r="F140" s="227"/>
      <c r="G140" s="223">
        <v>864.36</v>
      </c>
    </row>
    <row r="141" spans="1:7" ht="19.5" customHeight="1">
      <c r="A141" s="267" t="s">
        <v>385</v>
      </c>
      <c r="B141" s="267"/>
      <c r="C141" s="267"/>
      <c r="D141" s="218"/>
      <c r="E141" s="218"/>
      <c r="F141" s="264"/>
      <c r="G141" s="253">
        <v>5502</v>
      </c>
    </row>
    <row r="142" spans="1:7" ht="19.5" customHeight="1">
      <c r="A142" s="308" t="s">
        <v>398</v>
      </c>
      <c r="B142" s="308"/>
      <c r="C142" s="267"/>
      <c r="D142" s="218"/>
      <c r="E142" s="218"/>
      <c r="F142" s="264"/>
      <c r="G142" s="253">
        <v>0</v>
      </c>
    </row>
    <row r="143" spans="1:7" ht="19.5" customHeight="1">
      <c r="A143" s="308" t="s">
        <v>75</v>
      </c>
      <c r="B143" s="308"/>
      <c r="C143" s="267"/>
      <c r="D143" s="218"/>
      <c r="E143" s="218"/>
      <c r="F143" s="264"/>
      <c r="G143" s="253">
        <v>0</v>
      </c>
    </row>
    <row r="144" spans="1:7" ht="19.5" customHeight="1">
      <c r="A144" s="308" t="s">
        <v>534</v>
      </c>
      <c r="B144" s="308"/>
      <c r="C144" s="308"/>
      <c r="D144" s="218"/>
      <c r="E144" s="218"/>
      <c r="F144" s="264"/>
      <c r="G144" s="253">
        <v>240400</v>
      </c>
    </row>
    <row r="145" spans="1:7" ht="19.5" customHeight="1" thickBot="1">
      <c r="A145" s="308"/>
      <c r="B145" s="308"/>
      <c r="C145" s="308"/>
      <c r="D145" s="218"/>
      <c r="E145" s="218"/>
      <c r="F145" s="264" t="s">
        <v>19</v>
      </c>
      <c r="G145" s="274">
        <f>SUM(G137:G144)</f>
        <v>328251.35</v>
      </c>
    </row>
    <row r="146" spans="1:7" ht="19.5" customHeight="1" thickTop="1">
      <c r="A146" s="308"/>
      <c r="B146" s="308"/>
      <c r="C146" s="308"/>
      <c r="D146" s="218"/>
      <c r="E146" s="218"/>
      <c r="F146" s="264"/>
      <c r="G146" s="253"/>
    </row>
    <row r="147" spans="1:7" ht="19.5" customHeight="1">
      <c r="A147" s="227"/>
      <c r="B147" s="227"/>
      <c r="C147" s="227"/>
      <c r="D147" s="227"/>
      <c r="E147" s="218"/>
      <c r="F147" s="264"/>
      <c r="G147" s="268"/>
    </row>
    <row r="148" spans="1:7" ht="19.5" customHeight="1">
      <c r="A148" s="312" t="s">
        <v>63</v>
      </c>
      <c r="B148" s="312"/>
      <c r="C148" s="312"/>
      <c r="D148" s="312"/>
      <c r="E148" s="312"/>
      <c r="F148" s="312"/>
      <c r="G148" s="312"/>
    </row>
    <row r="149" spans="1:7" ht="19.5" customHeight="1">
      <c r="A149" s="309" t="s">
        <v>423</v>
      </c>
      <c r="B149" s="309"/>
      <c r="C149" s="309"/>
      <c r="D149" s="309"/>
      <c r="E149" s="309"/>
      <c r="F149" s="309"/>
      <c r="G149" s="309"/>
    </row>
    <row r="150" spans="1:7" ht="19.5" customHeight="1">
      <c r="A150" s="309" t="s">
        <v>545</v>
      </c>
      <c r="B150" s="309"/>
      <c r="C150" s="309"/>
      <c r="D150" s="309"/>
      <c r="E150" s="309"/>
      <c r="F150" s="309"/>
      <c r="G150" s="309"/>
    </row>
    <row r="151" spans="1:7" ht="19.5" customHeight="1">
      <c r="A151" s="310" t="s">
        <v>425</v>
      </c>
      <c r="B151" s="310"/>
      <c r="C151" s="310"/>
      <c r="D151" s="310"/>
      <c r="E151" s="310"/>
      <c r="F151" s="310"/>
      <c r="G151" s="310"/>
    </row>
    <row r="152" spans="1:7" ht="19.5" customHeight="1">
      <c r="A152" s="269"/>
      <c r="B152" s="269"/>
      <c r="C152" s="269"/>
      <c r="D152" s="269"/>
      <c r="E152" s="269"/>
      <c r="F152" s="269"/>
      <c r="G152" s="227" t="s">
        <v>69</v>
      </c>
    </row>
    <row r="153" spans="1:7" ht="19.5" customHeight="1">
      <c r="A153" s="308" t="s">
        <v>126</v>
      </c>
      <c r="B153" s="308"/>
      <c r="C153" s="308"/>
      <c r="D153" s="308"/>
      <c r="E153" s="227"/>
      <c r="F153" s="227"/>
      <c r="G153" s="223">
        <v>25377.69</v>
      </c>
    </row>
    <row r="154" spans="1:7" ht="19.5" customHeight="1">
      <c r="A154" s="308" t="s">
        <v>535</v>
      </c>
      <c r="B154" s="308"/>
      <c r="C154" s="308"/>
      <c r="D154" s="228"/>
      <c r="E154" s="227"/>
      <c r="F154" s="227"/>
      <c r="G154" s="223">
        <v>27150</v>
      </c>
    </row>
    <row r="155" spans="1:7" ht="19.5" customHeight="1">
      <c r="A155" s="228" t="s">
        <v>385</v>
      </c>
      <c r="B155" s="228"/>
      <c r="C155" s="228"/>
      <c r="D155" s="228"/>
      <c r="E155" s="227"/>
      <c r="F155" s="227"/>
      <c r="G155" s="223">
        <v>5502</v>
      </c>
    </row>
    <row r="156" spans="1:7" ht="19.5" customHeight="1">
      <c r="A156" s="308" t="s">
        <v>534</v>
      </c>
      <c r="B156" s="308"/>
      <c r="C156" s="228"/>
      <c r="D156" s="228"/>
      <c r="E156" s="227"/>
      <c r="F156" s="227"/>
      <c r="G156" s="223">
        <v>240400</v>
      </c>
    </row>
    <row r="157" spans="1:7" ht="19.5" customHeight="1">
      <c r="A157" s="308" t="s">
        <v>398</v>
      </c>
      <c r="B157" s="308"/>
      <c r="C157" s="308"/>
      <c r="D157" s="308"/>
      <c r="E157" s="227"/>
      <c r="F157" s="227"/>
      <c r="G157" s="277">
        <v>2959</v>
      </c>
    </row>
    <row r="158" spans="1:7" ht="19.5" customHeight="1" thickBot="1">
      <c r="A158" s="227"/>
      <c r="B158" s="227"/>
      <c r="C158" s="227"/>
      <c r="D158" s="227"/>
      <c r="E158" s="227"/>
      <c r="F158" s="227" t="s">
        <v>19</v>
      </c>
      <c r="G158" s="275">
        <f>SUM(G153:G157)</f>
        <v>301388.69</v>
      </c>
    </row>
    <row r="159" spans="1:7" ht="19.5" customHeight="1" thickTop="1">
      <c r="A159" s="311"/>
      <c r="B159" s="311"/>
      <c r="C159" s="311"/>
      <c r="D159" s="311"/>
      <c r="E159" s="311"/>
      <c r="F159" s="311"/>
      <c r="G159" s="311"/>
    </row>
    <row r="160" spans="1:7" ht="19.5" customHeight="1">
      <c r="A160" s="311"/>
      <c r="B160" s="311"/>
      <c r="C160" s="311"/>
      <c r="D160" s="311"/>
      <c r="E160" s="311"/>
      <c r="F160" s="311"/>
      <c r="G160" s="311"/>
    </row>
    <row r="161" spans="1:7" ht="19.5" customHeight="1">
      <c r="A161" s="228"/>
      <c r="B161" s="228"/>
      <c r="C161" s="228"/>
      <c r="D161" s="228"/>
      <c r="E161" s="227"/>
      <c r="F161" s="227"/>
      <c r="G161" s="223"/>
    </row>
    <row r="162" spans="1:7" ht="19.5" customHeight="1">
      <c r="A162" s="228"/>
      <c r="B162" s="228"/>
      <c r="C162" s="228"/>
      <c r="D162" s="228"/>
      <c r="E162" s="227"/>
      <c r="F162" s="227"/>
      <c r="G162" s="223"/>
    </row>
    <row r="163" spans="1:7" ht="19.5" customHeight="1">
      <c r="A163" s="228"/>
      <c r="B163" s="228"/>
      <c r="C163" s="228"/>
      <c r="D163" s="228"/>
      <c r="E163" s="227"/>
      <c r="F163" s="227"/>
      <c r="G163" s="223"/>
    </row>
    <row r="164" spans="1:7" ht="19.5" customHeight="1">
      <c r="A164" s="228"/>
      <c r="B164" s="228"/>
      <c r="C164" s="228"/>
      <c r="D164" s="228"/>
      <c r="E164" s="227"/>
      <c r="F164" s="227"/>
      <c r="G164" s="223"/>
    </row>
    <row r="165" spans="1:7" ht="19.5" customHeight="1">
      <c r="A165" s="228"/>
      <c r="B165" s="228"/>
      <c r="C165" s="228"/>
      <c r="D165" s="228"/>
      <c r="E165" s="227" t="s">
        <v>483</v>
      </c>
      <c r="F165" s="227"/>
      <c r="G165" s="223"/>
    </row>
    <row r="166" spans="1:7" ht="19.5" customHeight="1">
      <c r="A166" s="228"/>
      <c r="B166" s="228"/>
      <c r="C166" s="228"/>
      <c r="D166" s="228"/>
      <c r="E166" s="227"/>
      <c r="F166" s="227"/>
      <c r="G166" s="223"/>
    </row>
    <row r="167" spans="1:7" ht="19.5" customHeight="1">
      <c r="A167" s="228"/>
      <c r="B167" s="228"/>
      <c r="C167" s="228"/>
      <c r="D167" s="228"/>
      <c r="E167" s="227"/>
      <c r="F167" s="227"/>
      <c r="G167" s="223"/>
    </row>
    <row r="168" spans="1:7" ht="19.5" customHeight="1">
      <c r="A168" s="228"/>
      <c r="B168" s="228"/>
      <c r="C168" s="228"/>
      <c r="D168" s="223"/>
      <c r="E168" s="223"/>
      <c r="F168" s="223"/>
      <c r="G168" s="223"/>
    </row>
    <row r="169" spans="1:7" ht="19.5" customHeight="1">
      <c r="A169" s="228"/>
      <c r="B169" s="228"/>
      <c r="C169" s="228"/>
      <c r="D169" s="228"/>
      <c r="E169" s="227"/>
      <c r="F169" s="227"/>
      <c r="G169" s="223"/>
    </row>
    <row r="170" spans="1:7" ht="19.5" customHeight="1">
      <c r="A170" s="228"/>
      <c r="B170" s="228"/>
      <c r="C170" s="228"/>
      <c r="D170" s="228"/>
      <c r="E170" s="227"/>
      <c r="F170" s="227"/>
      <c r="G170" s="223"/>
    </row>
    <row r="171" spans="1:7" ht="19.5" customHeight="1">
      <c r="A171" s="228"/>
      <c r="B171" s="228"/>
      <c r="C171" s="228"/>
      <c r="D171" s="228"/>
      <c r="E171" s="227"/>
      <c r="F171" s="227"/>
      <c r="G171" s="223"/>
    </row>
    <row r="172" spans="1:7" ht="19.5" customHeight="1">
      <c r="A172" s="228"/>
      <c r="B172" s="228"/>
      <c r="C172" s="228"/>
      <c r="D172" s="228"/>
      <c r="E172" s="227"/>
      <c r="F172" s="227"/>
      <c r="G172" s="223"/>
    </row>
    <row r="173" spans="1:7" ht="19.5" customHeight="1">
      <c r="A173" s="312" t="s">
        <v>63</v>
      </c>
      <c r="B173" s="312"/>
      <c r="C173" s="312"/>
      <c r="D173" s="312"/>
      <c r="E173" s="312"/>
      <c r="F173" s="312"/>
      <c r="G173" s="312"/>
    </row>
    <row r="174" spans="1:7" ht="19.5" customHeight="1">
      <c r="A174" s="309" t="s">
        <v>423</v>
      </c>
      <c r="B174" s="309"/>
      <c r="C174" s="309"/>
      <c r="D174" s="309"/>
      <c r="E174" s="309"/>
      <c r="F174" s="309"/>
      <c r="G174" s="309"/>
    </row>
    <row r="175" spans="1:7" ht="19.5" customHeight="1">
      <c r="A175" s="309" t="s">
        <v>545</v>
      </c>
      <c r="B175" s="309"/>
      <c r="C175" s="309"/>
      <c r="D175" s="309"/>
      <c r="E175" s="309"/>
      <c r="F175" s="309"/>
      <c r="G175" s="309"/>
    </row>
    <row r="176" spans="1:7" ht="19.5" customHeight="1">
      <c r="A176" s="310" t="s">
        <v>408</v>
      </c>
      <c r="B176" s="310"/>
      <c r="C176" s="310"/>
      <c r="D176" s="310"/>
      <c r="E176" s="310"/>
      <c r="F176" s="310"/>
      <c r="G176" s="310"/>
    </row>
    <row r="177" spans="1:7" ht="19.5" customHeight="1">
      <c r="A177" s="269"/>
      <c r="B177" s="269"/>
      <c r="C177" s="269"/>
      <c r="D177" s="269"/>
      <c r="E177" s="269"/>
      <c r="F177" s="269"/>
      <c r="G177" s="227" t="s">
        <v>69</v>
      </c>
    </row>
    <row r="178" spans="1:7" ht="19.5" customHeight="1">
      <c r="A178" s="286" t="s">
        <v>521</v>
      </c>
      <c r="B178" s="286"/>
      <c r="C178" s="286"/>
      <c r="D178" s="286"/>
      <c r="E178" s="228"/>
      <c r="F178" s="228"/>
      <c r="G178" s="223">
        <v>0</v>
      </c>
    </row>
    <row r="179" spans="1:7" ht="19.5" customHeight="1">
      <c r="A179" s="308" t="s">
        <v>522</v>
      </c>
      <c r="B179" s="308"/>
      <c r="C179" s="308"/>
      <c r="D179" s="308"/>
      <c r="E179" s="228"/>
      <c r="F179" s="228"/>
      <c r="G179" s="223">
        <v>0</v>
      </c>
    </row>
    <row r="180" spans="1:7" ht="19.5" customHeight="1">
      <c r="A180" s="308" t="s">
        <v>523</v>
      </c>
      <c r="B180" s="308"/>
      <c r="C180" s="308"/>
      <c r="D180" s="308"/>
      <c r="E180" s="228"/>
      <c r="F180" s="228"/>
      <c r="G180" s="223">
        <v>0</v>
      </c>
    </row>
    <row r="181" spans="1:7" ht="19.5" customHeight="1">
      <c r="A181" s="286" t="s">
        <v>524</v>
      </c>
      <c r="B181" s="286"/>
      <c r="C181" s="286"/>
      <c r="D181" s="286"/>
      <c r="E181" s="228"/>
      <c r="F181" s="228"/>
      <c r="G181" s="223">
        <v>0</v>
      </c>
    </row>
    <row r="182" spans="1:7" ht="19.5" customHeight="1">
      <c r="A182" s="308" t="s">
        <v>525</v>
      </c>
      <c r="B182" s="308"/>
      <c r="C182" s="308"/>
      <c r="D182" s="308"/>
      <c r="E182" s="308"/>
      <c r="F182" s="227"/>
      <c r="G182" s="223">
        <v>0</v>
      </c>
    </row>
    <row r="183" spans="1:7" ht="19.5" customHeight="1">
      <c r="A183" s="228"/>
      <c r="B183" s="228"/>
      <c r="C183" s="228"/>
      <c r="D183" s="223"/>
      <c r="E183" s="223"/>
      <c r="F183" s="223"/>
      <c r="G183" s="223"/>
    </row>
    <row r="184" spans="1:7" ht="19.5" customHeight="1" thickBot="1">
      <c r="A184" s="228"/>
      <c r="B184" s="228"/>
      <c r="C184" s="228"/>
      <c r="D184" s="228"/>
      <c r="E184" s="228"/>
      <c r="F184" s="227" t="s">
        <v>19</v>
      </c>
      <c r="G184" s="276">
        <f>SUM(G178:G183)</f>
        <v>0</v>
      </c>
    </row>
    <row r="185" spans="1:7" ht="19.5" customHeight="1" thickTop="1">
      <c r="A185" s="308"/>
      <c r="B185" s="308"/>
      <c r="C185" s="308"/>
      <c r="D185" s="308"/>
      <c r="E185" s="308"/>
      <c r="F185" s="264"/>
      <c r="G185" s="253"/>
    </row>
    <row r="186" spans="1:7" ht="19.5" customHeight="1">
      <c r="A186" s="228"/>
      <c r="B186" s="228"/>
      <c r="C186" s="228"/>
      <c r="D186" s="228"/>
      <c r="E186" s="228"/>
      <c r="F186" s="264"/>
      <c r="G186" s="253"/>
    </row>
    <row r="187" spans="1:7" ht="19.5" customHeight="1">
      <c r="A187" s="228"/>
      <c r="B187" s="228"/>
      <c r="C187" s="228"/>
      <c r="D187" s="228"/>
      <c r="E187" s="228"/>
      <c r="F187" s="264"/>
      <c r="G187" s="253"/>
    </row>
    <row r="188" spans="1:7" ht="19.5" customHeight="1">
      <c r="A188" s="308"/>
      <c r="B188" s="308"/>
      <c r="C188" s="308"/>
      <c r="D188" s="308"/>
      <c r="E188" s="308"/>
      <c r="F188" s="264"/>
      <c r="G188" s="253"/>
    </row>
    <row r="189" spans="1:7" ht="19.5" customHeight="1">
      <c r="A189" s="228"/>
      <c r="B189" s="228"/>
      <c r="C189" s="228"/>
      <c r="D189" s="228"/>
      <c r="E189" s="228"/>
      <c r="F189" s="227"/>
      <c r="G189" s="285"/>
    </row>
    <row r="190" spans="1:7" ht="19.5" customHeight="1">
      <c r="A190" s="228"/>
      <c r="B190" s="228"/>
      <c r="C190" s="228"/>
      <c r="D190" s="228"/>
      <c r="E190" s="228"/>
      <c r="F190" s="264"/>
      <c r="G190" s="253"/>
    </row>
    <row r="191" spans="1:7" ht="19.5" customHeight="1">
      <c r="A191" s="227"/>
      <c r="B191" s="227"/>
      <c r="C191" s="227"/>
      <c r="D191" s="227"/>
      <c r="E191" s="227"/>
      <c r="F191" s="227"/>
      <c r="G191" s="285"/>
    </row>
    <row r="192" spans="1:7" ht="19.5" customHeight="1">
      <c r="A192" s="229"/>
      <c r="B192" s="229"/>
      <c r="C192" s="229"/>
      <c r="F192" s="229"/>
      <c r="G192" s="229"/>
    </row>
    <row r="193" spans="1:7" ht="19.5" customHeight="1">
      <c r="A193" s="229"/>
      <c r="B193" s="229"/>
      <c r="C193" s="229"/>
      <c r="F193" s="229"/>
      <c r="G193" s="229"/>
    </row>
    <row r="194" spans="1:7" ht="19.5" customHeight="1">
      <c r="A194" s="229"/>
      <c r="B194" s="229"/>
      <c r="C194" s="229"/>
      <c r="F194" s="229"/>
      <c r="G194" s="229"/>
    </row>
    <row r="195" spans="1:7" ht="19.5" customHeight="1">
      <c r="A195" s="229"/>
      <c r="B195" s="229"/>
      <c r="C195" s="229"/>
      <c r="F195" s="229"/>
      <c r="G195" s="229"/>
    </row>
    <row r="196" spans="1:7" ht="19.5" customHeight="1">
      <c r="A196" s="229"/>
      <c r="B196" s="229"/>
      <c r="C196" s="229"/>
      <c r="F196" s="229"/>
      <c r="G196" s="229"/>
    </row>
    <row r="197" spans="1:7" ht="19.5" customHeight="1">
      <c r="A197" s="229"/>
      <c r="B197" s="229"/>
      <c r="C197" s="229"/>
      <c r="F197" s="229"/>
      <c r="G197" s="229"/>
    </row>
    <row r="198" spans="1:7" ht="19.5" customHeight="1">
      <c r="A198" s="229"/>
      <c r="B198" s="229"/>
      <c r="C198" s="229"/>
      <c r="F198" s="229"/>
      <c r="G198" s="229"/>
    </row>
    <row r="199" spans="1:7" ht="19.5" customHeight="1">
      <c r="A199" s="229"/>
      <c r="B199" s="229"/>
      <c r="C199" s="229"/>
      <c r="F199" s="229"/>
      <c r="G199" s="229"/>
    </row>
    <row r="200" spans="1:7" ht="19.5" customHeight="1">
      <c r="A200" s="229"/>
      <c r="B200" s="229"/>
      <c r="C200" s="229"/>
      <c r="F200" s="229"/>
      <c r="G200" s="229"/>
    </row>
    <row r="201" spans="1:7" ht="19.5" customHeight="1">
      <c r="A201" s="229"/>
      <c r="B201" s="229"/>
      <c r="C201" s="229"/>
      <c r="F201" s="229"/>
      <c r="G201" s="229"/>
    </row>
    <row r="202" spans="1:7" ht="19.5" customHeight="1">
      <c r="A202" s="229"/>
      <c r="B202" s="229"/>
      <c r="C202" s="229"/>
      <c r="F202" s="229"/>
      <c r="G202" s="229"/>
    </row>
    <row r="203" spans="1:7" ht="19.5" customHeight="1">
      <c r="A203" s="229"/>
      <c r="B203" s="229"/>
      <c r="C203" s="229"/>
      <c r="F203" s="229"/>
      <c r="G203" s="229"/>
    </row>
    <row r="204" spans="1:7" ht="19.5" customHeight="1">
      <c r="A204" s="229"/>
      <c r="B204" s="229"/>
      <c r="C204" s="229"/>
      <c r="F204" s="229"/>
      <c r="G204" s="229"/>
    </row>
    <row r="205" spans="1:7" ht="19.5" customHeight="1">
      <c r="A205" s="229"/>
      <c r="B205" s="229"/>
      <c r="C205" s="229"/>
      <c r="F205" s="229"/>
      <c r="G205" s="229"/>
    </row>
    <row r="206" spans="1:7" ht="19.5" customHeight="1">
      <c r="A206" s="229"/>
      <c r="B206" s="229"/>
      <c r="C206" s="229"/>
      <c r="F206" s="229"/>
      <c r="G206" s="229"/>
    </row>
    <row r="207" spans="1:7" ht="19.5" customHeight="1">
      <c r="A207" s="229"/>
      <c r="B207" s="229"/>
      <c r="C207" s="229"/>
      <c r="F207" s="229"/>
      <c r="G207" s="229"/>
    </row>
    <row r="208" spans="1:7" ht="19.5" customHeight="1">
      <c r="A208" s="229"/>
      <c r="B208" s="229"/>
      <c r="C208" s="229"/>
      <c r="F208" s="229"/>
      <c r="G208" s="229"/>
    </row>
    <row r="209" spans="1:7" ht="19.5" customHeight="1">
      <c r="A209" s="229"/>
      <c r="B209" s="229"/>
      <c r="C209" s="229"/>
      <c r="F209" s="229"/>
      <c r="G209" s="229"/>
    </row>
    <row r="210" spans="1:7" ht="19.5" customHeight="1">
      <c r="A210" s="229"/>
      <c r="B210" s="229"/>
      <c r="C210" s="229"/>
      <c r="F210" s="229"/>
      <c r="G210" s="229"/>
    </row>
    <row r="211" spans="1:7" ht="19.5" customHeight="1">
      <c r="A211" s="229"/>
      <c r="B211" s="229"/>
      <c r="C211" s="229"/>
      <c r="F211" s="229"/>
      <c r="G211" s="229"/>
    </row>
    <row r="212" spans="1:7" ht="19.5" customHeight="1">
      <c r="A212" s="229"/>
      <c r="B212" s="229"/>
      <c r="C212" s="229"/>
      <c r="F212" s="229"/>
      <c r="G212" s="229"/>
    </row>
    <row r="213" spans="1:7" ht="19.5" customHeight="1">
      <c r="A213" s="229"/>
      <c r="B213" s="229"/>
      <c r="C213" s="229"/>
      <c r="F213" s="229"/>
      <c r="G213" s="229"/>
    </row>
    <row r="214" spans="1:7" ht="19.5" customHeight="1">
      <c r="A214" s="229"/>
      <c r="B214" s="229"/>
      <c r="C214" s="229"/>
      <c r="F214" s="229"/>
      <c r="G214" s="229"/>
    </row>
    <row r="215" spans="1:7" ht="19.5" customHeight="1">
      <c r="A215" s="229"/>
      <c r="B215" s="229"/>
      <c r="C215" s="229"/>
      <c r="F215" s="229"/>
      <c r="G215" s="229"/>
    </row>
    <row r="216" spans="1:7" ht="19.5" customHeight="1">
      <c r="A216" s="229"/>
      <c r="B216" s="229"/>
      <c r="C216" s="229"/>
      <c r="F216" s="229"/>
      <c r="G216" s="229"/>
    </row>
    <row r="217" spans="1:7" ht="19.5" customHeight="1">
      <c r="A217" s="229"/>
      <c r="B217" s="229"/>
      <c r="C217" s="229"/>
      <c r="F217" s="229"/>
      <c r="G217" s="229"/>
    </row>
    <row r="218" spans="1:7" ht="19.5" customHeight="1">
      <c r="A218" s="229"/>
      <c r="B218" s="229"/>
      <c r="C218" s="229"/>
      <c r="F218" s="229"/>
      <c r="G218" s="229"/>
    </row>
    <row r="219" spans="1:7" ht="19.5" customHeight="1">
      <c r="A219" s="229"/>
      <c r="B219" s="229"/>
      <c r="C219" s="229"/>
      <c r="F219" s="229"/>
      <c r="G219" s="229"/>
    </row>
    <row r="220" spans="1:7" ht="19.5" customHeight="1">
      <c r="A220" s="229"/>
      <c r="B220" s="229"/>
      <c r="C220" s="229"/>
      <c r="F220" s="229"/>
      <c r="G220" s="229"/>
    </row>
    <row r="221" spans="1:7" ht="19.5" customHeight="1">
      <c r="A221" s="229"/>
      <c r="B221" s="229"/>
      <c r="C221" s="229"/>
      <c r="F221" s="229"/>
      <c r="G221" s="229"/>
    </row>
    <row r="222" spans="1:7" ht="19.5" customHeight="1">
      <c r="A222" s="229"/>
      <c r="B222" s="229"/>
      <c r="C222" s="229"/>
      <c r="F222" s="229"/>
      <c r="G222" s="229"/>
    </row>
    <row r="223" spans="1:7" ht="19.5" customHeight="1">
      <c r="A223" s="229"/>
      <c r="B223" s="229"/>
      <c r="C223" s="229"/>
      <c r="F223" s="229"/>
      <c r="G223" s="229"/>
    </row>
    <row r="224" spans="1:7" ht="19.5" customHeight="1">
      <c r="A224" s="229"/>
      <c r="B224" s="229"/>
      <c r="C224" s="229"/>
      <c r="F224" s="229"/>
      <c r="G224" s="229"/>
    </row>
    <row r="225" spans="1:7" ht="19.5" customHeight="1">
      <c r="A225" s="229"/>
      <c r="B225" s="229"/>
      <c r="C225" s="229"/>
      <c r="F225" s="229"/>
      <c r="G225" s="229"/>
    </row>
    <row r="226" spans="1:7" ht="19.5" customHeight="1">
      <c r="A226" s="229"/>
      <c r="B226" s="229"/>
      <c r="C226" s="229"/>
      <c r="F226" s="229"/>
      <c r="G226" s="229"/>
    </row>
    <row r="227" spans="1:7" ht="19.5" customHeight="1">
      <c r="A227" s="229"/>
      <c r="B227" s="229"/>
      <c r="C227" s="229"/>
      <c r="F227" s="229"/>
      <c r="G227" s="229"/>
    </row>
    <row r="228" spans="1:7" ht="19.5" customHeight="1">
      <c r="A228" s="229"/>
      <c r="B228" s="229"/>
      <c r="C228" s="229"/>
      <c r="F228" s="229"/>
      <c r="G228" s="229"/>
    </row>
    <row r="229" spans="1:7" ht="19.5" customHeight="1">
      <c r="A229" s="229"/>
      <c r="B229" s="229"/>
      <c r="C229" s="229"/>
      <c r="F229" s="229"/>
      <c r="G229" s="229"/>
    </row>
    <row r="230" spans="1:7" ht="19.5" customHeight="1">
      <c r="A230" s="229"/>
      <c r="B230" s="229"/>
      <c r="C230" s="229"/>
      <c r="F230" s="229"/>
      <c r="G230" s="229"/>
    </row>
    <row r="231" spans="1:7" ht="19.5" customHeight="1">
      <c r="A231" s="229"/>
      <c r="B231" s="229"/>
      <c r="C231" s="229"/>
      <c r="F231" s="229"/>
      <c r="G231" s="229"/>
    </row>
    <row r="232" spans="1:7" ht="19.5" customHeight="1">
      <c r="A232" s="229"/>
      <c r="B232" s="229"/>
      <c r="C232" s="229"/>
      <c r="F232" s="229"/>
      <c r="G232" s="229"/>
    </row>
    <row r="233" spans="1:7" ht="19.5" customHeight="1">
      <c r="A233" s="229"/>
      <c r="B233" s="229"/>
      <c r="C233" s="229"/>
      <c r="F233" s="229"/>
      <c r="G233" s="229"/>
    </row>
    <row r="234" spans="1:7" ht="19.5" customHeight="1">
      <c r="A234" s="229"/>
      <c r="B234" s="229"/>
      <c r="C234" s="229"/>
      <c r="F234" s="229"/>
      <c r="G234" s="229"/>
    </row>
    <row r="235" spans="1:7" ht="19.5" customHeight="1">
      <c r="A235" s="229"/>
      <c r="B235" s="229"/>
      <c r="C235" s="229"/>
      <c r="F235" s="229"/>
      <c r="G235" s="229"/>
    </row>
    <row r="236" spans="1:7" ht="19.5" customHeight="1">
      <c r="A236" s="229"/>
      <c r="B236" s="229"/>
      <c r="C236" s="229"/>
      <c r="F236" s="229"/>
      <c r="G236" s="229"/>
    </row>
    <row r="237" spans="1:7" ht="19.5" customHeight="1">
      <c r="A237" s="229"/>
      <c r="B237" s="229"/>
      <c r="C237" s="229"/>
      <c r="F237" s="229"/>
      <c r="G237" s="229"/>
    </row>
    <row r="238" spans="1:7" ht="19.5" customHeight="1">
      <c r="A238" s="229"/>
      <c r="B238" s="229"/>
      <c r="C238" s="229"/>
      <c r="F238" s="229"/>
      <c r="G238" s="229"/>
    </row>
    <row r="239" spans="1:7" ht="19.5" customHeight="1">
      <c r="A239" s="229"/>
      <c r="B239" s="229"/>
      <c r="C239" s="229"/>
      <c r="F239" s="229"/>
      <c r="G239" s="229"/>
    </row>
    <row r="240" spans="1:7" ht="19.5" customHeight="1">
      <c r="A240" s="229"/>
      <c r="B240" s="229"/>
      <c r="C240" s="229"/>
      <c r="F240" s="229"/>
      <c r="G240" s="229"/>
    </row>
    <row r="241" spans="1:7" ht="19.5" customHeight="1">
      <c r="A241" s="229"/>
      <c r="B241" s="229"/>
      <c r="C241" s="229"/>
      <c r="F241" s="229"/>
      <c r="G241" s="229"/>
    </row>
    <row r="242" spans="1:7" ht="19.5" customHeight="1">
      <c r="A242" s="229"/>
      <c r="B242" s="229"/>
      <c r="C242" s="229"/>
      <c r="F242" s="229"/>
      <c r="G242" s="229"/>
    </row>
    <row r="243" spans="1:7" ht="19.5" customHeight="1">
      <c r="A243" s="229"/>
      <c r="B243" s="229"/>
      <c r="C243" s="229"/>
      <c r="F243" s="229"/>
      <c r="G243" s="229"/>
    </row>
    <row r="244" spans="1:7" ht="19.5" customHeight="1">
      <c r="A244" s="229"/>
      <c r="B244" s="229"/>
      <c r="C244" s="229"/>
      <c r="F244" s="229"/>
      <c r="G244" s="229"/>
    </row>
    <row r="245" spans="1:7" ht="19.5" customHeight="1">
      <c r="A245" s="229"/>
      <c r="B245" s="229"/>
      <c r="C245" s="229"/>
      <c r="F245" s="229"/>
      <c r="G245" s="229"/>
    </row>
    <row r="246" spans="1:7" ht="19.5" customHeight="1">
      <c r="A246" s="229"/>
      <c r="B246" s="229"/>
      <c r="C246" s="229"/>
      <c r="F246" s="229"/>
      <c r="G246" s="229"/>
    </row>
    <row r="247" spans="1:7" ht="19.5" customHeight="1">
      <c r="A247" s="229"/>
      <c r="B247" s="229"/>
      <c r="C247" s="229"/>
      <c r="F247" s="229"/>
      <c r="G247" s="229"/>
    </row>
    <row r="248" spans="1:7" ht="19.5" customHeight="1">
      <c r="A248" s="229"/>
      <c r="B248" s="229"/>
      <c r="C248" s="229"/>
      <c r="F248" s="229"/>
      <c r="G248" s="229"/>
    </row>
    <row r="249" spans="1:7" ht="19.5" customHeight="1">
      <c r="A249" s="229"/>
      <c r="B249" s="229"/>
      <c r="C249" s="229"/>
      <c r="F249" s="229"/>
      <c r="G249" s="229"/>
    </row>
    <row r="250" spans="1:7" ht="19.5" customHeight="1">
      <c r="A250" s="229"/>
      <c r="B250" s="229"/>
      <c r="C250" s="229"/>
      <c r="F250" s="229"/>
      <c r="G250" s="229"/>
    </row>
    <row r="251" spans="1:7" ht="19.5" customHeight="1">
      <c r="A251" s="229"/>
      <c r="B251" s="229"/>
      <c r="C251" s="229"/>
      <c r="F251" s="229"/>
      <c r="G251" s="229"/>
    </row>
    <row r="252" spans="1:7" ht="19.5" customHeight="1">
      <c r="A252" s="229"/>
      <c r="B252" s="229"/>
      <c r="C252" s="229"/>
      <c r="F252" s="229"/>
      <c r="G252" s="229"/>
    </row>
    <row r="253" spans="1:7" ht="19.5" customHeight="1">
      <c r="A253" s="229"/>
      <c r="B253" s="229"/>
      <c r="C253" s="229"/>
      <c r="F253" s="229"/>
      <c r="G253" s="229"/>
    </row>
    <row r="254" spans="1:7" ht="19.5" customHeight="1">
      <c r="A254" s="229"/>
      <c r="B254" s="229"/>
      <c r="C254" s="229"/>
      <c r="F254" s="229"/>
      <c r="G254" s="229"/>
    </row>
    <row r="255" spans="1:7" ht="19.5" customHeight="1">
      <c r="A255" s="229"/>
      <c r="B255" s="229"/>
      <c r="C255" s="229"/>
      <c r="F255" s="229"/>
      <c r="G255" s="229"/>
    </row>
    <row r="256" spans="1:7" ht="19.5" customHeight="1">
      <c r="A256" s="229"/>
      <c r="B256" s="229"/>
      <c r="C256" s="229"/>
      <c r="F256" s="229"/>
      <c r="G256" s="229"/>
    </row>
    <row r="257" spans="1:7" ht="19.5" customHeight="1">
      <c r="A257" s="229"/>
      <c r="B257" s="229"/>
      <c r="C257" s="229"/>
      <c r="F257" s="229"/>
      <c r="G257" s="229"/>
    </row>
    <row r="258" spans="1:7" ht="19.5" customHeight="1">
      <c r="A258" s="229"/>
      <c r="B258" s="229"/>
      <c r="C258" s="229"/>
      <c r="F258" s="229"/>
      <c r="G258" s="229"/>
    </row>
    <row r="259" spans="1:7" ht="19.5" customHeight="1">
      <c r="A259" s="229"/>
      <c r="B259" s="229"/>
      <c r="C259" s="229"/>
      <c r="F259" s="229"/>
      <c r="G259" s="229"/>
    </row>
    <row r="260" spans="1:7" ht="19.5" customHeight="1">
      <c r="A260" s="229"/>
      <c r="B260" s="229"/>
      <c r="C260" s="229"/>
      <c r="F260" s="229"/>
      <c r="G260" s="229"/>
    </row>
    <row r="261" spans="1:7" ht="19.5" customHeight="1">
      <c r="A261" s="229"/>
      <c r="B261" s="229"/>
      <c r="C261" s="229"/>
      <c r="F261" s="229"/>
      <c r="G261" s="229"/>
    </row>
    <row r="262" spans="1:7" ht="19.5" customHeight="1">
      <c r="A262" s="229"/>
      <c r="B262" s="229"/>
      <c r="C262" s="229"/>
      <c r="F262" s="229"/>
      <c r="G262" s="229"/>
    </row>
    <row r="263" spans="1:7" ht="19.5" customHeight="1">
      <c r="A263" s="229"/>
      <c r="B263" s="229"/>
      <c r="C263" s="229"/>
      <c r="F263" s="229"/>
      <c r="G263" s="229"/>
    </row>
    <row r="264" spans="1:7" ht="19.5" customHeight="1">
      <c r="A264" s="229"/>
      <c r="B264" s="229"/>
      <c r="C264" s="229"/>
      <c r="F264" s="229"/>
      <c r="G264" s="229"/>
    </row>
    <row r="265" spans="1:7" ht="19.5" customHeight="1">
      <c r="A265" s="229"/>
      <c r="B265" s="229"/>
      <c r="C265" s="229"/>
      <c r="F265" s="229"/>
      <c r="G265" s="229"/>
    </row>
    <row r="266" spans="1:7" ht="19.5" customHeight="1">
      <c r="A266" s="229"/>
      <c r="B266" s="229"/>
      <c r="C266" s="229"/>
      <c r="F266" s="229"/>
      <c r="G266" s="229"/>
    </row>
    <row r="267" spans="1:7" ht="19.5" customHeight="1">
      <c r="A267" s="229"/>
      <c r="B267" s="229"/>
      <c r="C267" s="229"/>
      <c r="F267" s="229"/>
      <c r="G267" s="229"/>
    </row>
    <row r="268" spans="1:7" ht="19.5" customHeight="1">
      <c r="A268" s="229"/>
      <c r="B268" s="229"/>
      <c r="C268" s="229"/>
      <c r="F268" s="229"/>
      <c r="G268" s="229"/>
    </row>
    <row r="269" spans="1:7" ht="19.5" customHeight="1">
      <c r="A269" s="229"/>
      <c r="B269" s="229"/>
      <c r="C269" s="229"/>
      <c r="F269" s="229"/>
      <c r="G269" s="229"/>
    </row>
    <row r="270" spans="1:7" ht="19.5" customHeight="1">
      <c r="A270" s="229"/>
      <c r="B270" s="229"/>
      <c r="C270" s="229"/>
      <c r="F270" s="229"/>
      <c r="G270" s="229"/>
    </row>
    <row r="271" spans="1:7" ht="19.5" customHeight="1">
      <c r="A271" s="229"/>
      <c r="B271" s="229"/>
      <c r="C271" s="229"/>
      <c r="F271" s="229"/>
      <c r="G271" s="229"/>
    </row>
    <row r="272" spans="1:7" ht="19.5" customHeight="1">
      <c r="A272" s="229"/>
      <c r="B272" s="229"/>
      <c r="C272" s="229"/>
      <c r="F272" s="229"/>
      <c r="G272" s="229"/>
    </row>
    <row r="273" spans="1:7" ht="19.5" customHeight="1">
      <c r="A273" s="229"/>
      <c r="B273" s="229"/>
      <c r="C273" s="229"/>
      <c r="F273" s="229"/>
      <c r="G273" s="229"/>
    </row>
    <row r="274" spans="1:7" ht="19.5" customHeight="1">
      <c r="A274" s="229"/>
      <c r="B274" s="229"/>
      <c r="C274" s="229"/>
      <c r="F274" s="229"/>
      <c r="G274" s="229"/>
    </row>
    <row r="275" spans="1:7" ht="19.5" customHeight="1">
      <c r="A275" s="229"/>
      <c r="B275" s="229"/>
      <c r="C275" s="229"/>
      <c r="F275" s="229"/>
      <c r="G275" s="229"/>
    </row>
    <row r="276" spans="1:7" ht="19.5" customHeight="1">
      <c r="A276" s="229"/>
      <c r="B276" s="229"/>
      <c r="C276" s="229"/>
      <c r="F276" s="229"/>
      <c r="G276" s="229"/>
    </row>
    <row r="277" spans="1:7" ht="19.5" customHeight="1">
      <c r="A277" s="229"/>
      <c r="B277" s="229"/>
      <c r="C277" s="229"/>
      <c r="F277" s="229"/>
      <c r="G277" s="229"/>
    </row>
    <row r="278" spans="1:7" ht="19.5" customHeight="1">
      <c r="A278" s="229"/>
      <c r="B278" s="229"/>
      <c r="C278" s="229"/>
      <c r="F278" s="229"/>
      <c r="G278" s="229"/>
    </row>
    <row r="279" spans="1:7" ht="19.5" customHeight="1">
      <c r="A279" s="229"/>
      <c r="B279" s="229"/>
      <c r="C279" s="229"/>
      <c r="F279" s="229"/>
      <c r="G279" s="229"/>
    </row>
    <row r="280" spans="1:7" ht="19.5" customHeight="1">
      <c r="A280" s="229"/>
      <c r="B280" s="229"/>
      <c r="C280" s="229"/>
      <c r="F280" s="229"/>
      <c r="G280" s="229"/>
    </row>
    <row r="281" spans="1:7" ht="19.5" customHeight="1">
      <c r="A281" s="229"/>
      <c r="B281" s="229"/>
      <c r="C281" s="229"/>
      <c r="F281" s="229"/>
      <c r="G281" s="229"/>
    </row>
    <row r="282" spans="1:7" ht="19.5" customHeight="1">
      <c r="A282" s="229"/>
      <c r="B282" s="229"/>
      <c r="C282" s="229"/>
      <c r="F282" s="229"/>
      <c r="G282" s="229"/>
    </row>
    <row r="283" spans="1:7" ht="19.5" customHeight="1">
      <c r="A283" s="229"/>
      <c r="B283" s="229"/>
      <c r="C283" s="229"/>
      <c r="F283" s="229"/>
      <c r="G283" s="229"/>
    </row>
    <row r="284" spans="1:7" ht="19.5" customHeight="1">
      <c r="A284" s="229"/>
      <c r="B284" s="229"/>
      <c r="C284" s="229"/>
      <c r="F284" s="229"/>
      <c r="G284" s="229"/>
    </row>
    <row r="285" spans="1:7" ht="19.5" customHeight="1">
      <c r="A285" s="229"/>
      <c r="B285" s="229"/>
      <c r="C285" s="229"/>
      <c r="F285" s="229"/>
      <c r="G285" s="229"/>
    </row>
    <row r="286" spans="1:7" ht="19.5" customHeight="1">
      <c r="A286" s="229"/>
      <c r="B286" s="229"/>
      <c r="C286" s="229"/>
      <c r="F286" s="229"/>
      <c r="G286" s="229"/>
    </row>
    <row r="287" spans="1:7" ht="19.5" customHeight="1">
      <c r="A287" s="229"/>
      <c r="B287" s="229"/>
      <c r="C287" s="229"/>
      <c r="F287" s="229"/>
      <c r="G287" s="229"/>
    </row>
    <row r="288" spans="1:7" ht="19.5" customHeight="1">
      <c r="A288" s="229"/>
      <c r="B288" s="229"/>
      <c r="C288" s="229"/>
      <c r="F288" s="229"/>
      <c r="G288" s="229"/>
    </row>
    <row r="289" spans="1:7" ht="19.5" customHeight="1">
      <c r="A289" s="229"/>
      <c r="B289" s="229"/>
      <c r="C289" s="229"/>
      <c r="F289" s="229"/>
      <c r="G289" s="229"/>
    </row>
    <row r="290" spans="1:7" ht="19.5" customHeight="1">
      <c r="A290" s="229"/>
      <c r="B290" s="229"/>
      <c r="C290" s="229"/>
      <c r="F290" s="229"/>
      <c r="G290" s="229"/>
    </row>
    <row r="291" spans="1:7" ht="19.5" customHeight="1">
      <c r="A291" s="229"/>
      <c r="B291" s="229"/>
      <c r="C291" s="229"/>
      <c r="F291" s="229"/>
      <c r="G291" s="229"/>
    </row>
    <row r="292" spans="1:7" ht="19.5" customHeight="1">
      <c r="A292" s="229"/>
      <c r="B292" s="229"/>
      <c r="C292" s="229"/>
      <c r="F292" s="229"/>
      <c r="G292" s="229"/>
    </row>
    <row r="293" spans="1:7" ht="19.5" customHeight="1">
      <c r="A293" s="229"/>
      <c r="B293" s="229"/>
      <c r="C293" s="229"/>
      <c r="F293" s="229"/>
      <c r="G293" s="229"/>
    </row>
    <row r="294" spans="1:7" ht="19.5" customHeight="1">
      <c r="A294" s="229"/>
      <c r="B294" s="229"/>
      <c r="C294" s="229"/>
      <c r="F294" s="229"/>
      <c r="G294" s="229"/>
    </row>
    <row r="295" spans="1:7" ht="19.5" customHeight="1">
      <c r="A295" s="229"/>
      <c r="B295" s="229"/>
      <c r="C295" s="229"/>
      <c r="F295" s="229"/>
      <c r="G295" s="229"/>
    </row>
    <row r="296" spans="1:7" ht="19.5" customHeight="1">
      <c r="A296" s="229"/>
      <c r="B296" s="229"/>
      <c r="C296" s="229"/>
      <c r="F296" s="229"/>
      <c r="G296" s="229"/>
    </row>
    <row r="297" spans="1:7" ht="19.5" customHeight="1">
      <c r="A297" s="229"/>
      <c r="B297" s="229"/>
      <c r="C297" s="229"/>
      <c r="F297" s="229"/>
      <c r="G297" s="229"/>
    </row>
    <row r="298" spans="1:7" ht="19.5" customHeight="1">
      <c r="A298" s="229"/>
      <c r="B298" s="229"/>
      <c r="C298" s="229"/>
      <c r="F298" s="229"/>
      <c r="G298" s="229"/>
    </row>
    <row r="299" spans="1:7" ht="19.5" customHeight="1">
      <c r="A299" s="229"/>
      <c r="B299" s="229"/>
      <c r="C299" s="229"/>
      <c r="F299" s="229"/>
      <c r="G299" s="229"/>
    </row>
    <row r="300" spans="1:7" ht="19.5" customHeight="1">
      <c r="A300" s="229"/>
      <c r="B300" s="229"/>
      <c r="C300" s="229"/>
      <c r="F300" s="229"/>
      <c r="G300" s="229"/>
    </row>
    <row r="301" spans="1:7" ht="19.5" customHeight="1">
      <c r="A301" s="229"/>
      <c r="B301" s="229"/>
      <c r="C301" s="229"/>
      <c r="F301" s="229"/>
      <c r="G301" s="229"/>
    </row>
    <row r="302" spans="1:7" ht="19.5" customHeight="1">
      <c r="A302" s="229"/>
      <c r="B302" s="229"/>
      <c r="C302" s="229"/>
      <c r="F302" s="229"/>
      <c r="G302" s="229"/>
    </row>
    <row r="303" spans="1:7" ht="19.5" customHeight="1">
      <c r="A303" s="229"/>
      <c r="B303" s="229"/>
      <c r="C303" s="229"/>
      <c r="F303" s="229"/>
      <c r="G303" s="229"/>
    </row>
    <row r="304" spans="1:7" ht="19.5" customHeight="1">
      <c r="A304" s="229"/>
      <c r="B304" s="229"/>
      <c r="C304" s="229"/>
      <c r="F304" s="229"/>
      <c r="G304" s="229"/>
    </row>
    <row r="305" spans="1:7" ht="19.5" customHeight="1">
      <c r="A305" s="229"/>
      <c r="B305" s="229"/>
      <c r="C305" s="229"/>
      <c r="F305" s="229"/>
      <c r="G305" s="229"/>
    </row>
    <row r="306" spans="1:7" ht="19.5" customHeight="1">
      <c r="A306" s="229"/>
      <c r="B306" s="229"/>
      <c r="C306" s="229"/>
      <c r="F306" s="229"/>
      <c r="G306" s="229"/>
    </row>
    <row r="307" spans="1:7" ht="19.5" customHeight="1">
      <c r="A307" s="229"/>
      <c r="B307" s="229"/>
      <c r="C307" s="229"/>
      <c r="F307" s="229"/>
      <c r="G307" s="229"/>
    </row>
    <row r="308" spans="1:7" ht="19.5" customHeight="1">
      <c r="A308" s="229"/>
      <c r="B308" s="229"/>
      <c r="C308" s="229"/>
      <c r="F308" s="229"/>
      <c r="G308" s="229"/>
    </row>
    <row r="309" spans="1:7" ht="19.5" customHeight="1">
      <c r="A309" s="229"/>
      <c r="B309" s="229"/>
      <c r="C309" s="229"/>
      <c r="F309" s="229"/>
      <c r="G309" s="229"/>
    </row>
    <row r="310" spans="1:7" ht="19.5" customHeight="1">
      <c r="A310" s="229"/>
      <c r="B310" s="229"/>
      <c r="C310" s="229"/>
      <c r="F310" s="229"/>
      <c r="G310" s="229"/>
    </row>
    <row r="311" spans="1:7" ht="19.5" customHeight="1">
      <c r="A311" s="229"/>
      <c r="B311" s="229"/>
      <c r="C311" s="229"/>
      <c r="F311" s="229"/>
      <c r="G311" s="229"/>
    </row>
    <row r="312" spans="1:7" ht="19.5" customHeight="1">
      <c r="A312" s="229"/>
      <c r="B312" s="229"/>
      <c r="C312" s="229"/>
      <c r="F312" s="229"/>
      <c r="G312" s="229"/>
    </row>
    <row r="313" spans="1:7" ht="19.5" customHeight="1">
      <c r="A313" s="229"/>
      <c r="B313" s="229"/>
      <c r="C313" s="229"/>
      <c r="F313" s="229"/>
      <c r="G313" s="229"/>
    </row>
    <row r="314" spans="1:7" ht="19.5" customHeight="1">
      <c r="A314" s="229"/>
      <c r="B314" s="229"/>
      <c r="C314" s="229"/>
      <c r="F314" s="229"/>
      <c r="G314" s="229"/>
    </row>
    <row r="315" spans="1:7" ht="19.5" customHeight="1">
      <c r="A315" s="229"/>
      <c r="B315" s="229"/>
      <c r="C315" s="229"/>
      <c r="F315" s="229"/>
      <c r="G315" s="229"/>
    </row>
    <row r="316" spans="1:7" ht="19.5" customHeight="1">
      <c r="A316" s="229"/>
      <c r="B316" s="229"/>
      <c r="C316" s="229"/>
      <c r="F316" s="229"/>
      <c r="G316" s="229"/>
    </row>
    <row r="317" spans="1:7" ht="19.5" customHeight="1">
      <c r="A317" s="229"/>
      <c r="B317" s="229"/>
      <c r="C317" s="229"/>
      <c r="F317" s="229"/>
      <c r="G317" s="229"/>
    </row>
    <row r="318" spans="1:7" ht="19.5" customHeight="1">
      <c r="A318" s="229"/>
      <c r="B318" s="229"/>
      <c r="C318" s="229"/>
      <c r="F318" s="229"/>
      <c r="G318" s="229"/>
    </row>
    <row r="319" spans="1:7" ht="19.5" customHeight="1">
      <c r="A319" s="229"/>
      <c r="B319" s="229"/>
      <c r="C319" s="229"/>
      <c r="F319" s="229"/>
      <c r="G319" s="229"/>
    </row>
    <row r="320" spans="1:7" ht="19.5" customHeight="1">
      <c r="A320" s="229"/>
      <c r="B320" s="229"/>
      <c r="C320" s="229"/>
      <c r="F320" s="229"/>
      <c r="G320" s="229"/>
    </row>
    <row r="321" spans="1:7" ht="19.5" customHeight="1">
      <c r="A321" s="229"/>
      <c r="B321" s="229"/>
      <c r="C321" s="229"/>
      <c r="F321" s="229"/>
      <c r="G321" s="229"/>
    </row>
    <row r="322" spans="1:7" ht="19.5" customHeight="1">
      <c r="A322" s="229"/>
      <c r="B322" s="229"/>
      <c r="C322" s="229"/>
      <c r="F322" s="229"/>
      <c r="G322" s="229"/>
    </row>
    <row r="323" spans="1:7" ht="19.5" customHeight="1">
      <c r="A323" s="229"/>
      <c r="B323" s="229"/>
      <c r="C323" s="229"/>
      <c r="F323" s="229"/>
      <c r="G323" s="229"/>
    </row>
    <row r="324" spans="1:7" ht="19.5" customHeight="1">
      <c r="A324" s="229"/>
      <c r="B324" s="229"/>
      <c r="C324" s="229"/>
      <c r="F324" s="229"/>
      <c r="G324" s="229"/>
    </row>
    <row r="325" spans="1:7" ht="19.5" customHeight="1">
      <c r="A325" s="229"/>
      <c r="B325" s="229"/>
      <c r="C325" s="229"/>
      <c r="F325" s="229"/>
      <c r="G325" s="229"/>
    </row>
    <row r="326" spans="1:7" ht="19.5" customHeight="1">
      <c r="A326" s="229"/>
      <c r="B326" s="229"/>
      <c r="C326" s="229"/>
      <c r="F326" s="229"/>
      <c r="G326" s="229"/>
    </row>
    <row r="327" spans="1:7" ht="19.5" customHeight="1">
      <c r="A327" s="229"/>
      <c r="B327" s="229"/>
      <c r="C327" s="229"/>
      <c r="F327" s="229"/>
      <c r="G327" s="229"/>
    </row>
    <row r="328" spans="1:7" ht="19.5" customHeight="1">
      <c r="A328" s="229"/>
      <c r="B328" s="229"/>
      <c r="C328" s="229"/>
      <c r="F328" s="229"/>
      <c r="G328" s="229"/>
    </row>
    <row r="329" spans="1:7" ht="19.5" customHeight="1">
      <c r="A329" s="229"/>
      <c r="B329" s="229"/>
      <c r="C329" s="229"/>
      <c r="F329" s="229"/>
      <c r="G329" s="229"/>
    </row>
    <row r="330" spans="1:7" ht="19.5" customHeight="1">
      <c r="A330" s="229"/>
      <c r="B330" s="229"/>
      <c r="C330" s="229"/>
      <c r="F330" s="229"/>
      <c r="G330" s="229"/>
    </row>
    <row r="331" spans="1:7" ht="19.5" customHeight="1">
      <c r="A331" s="229"/>
      <c r="B331" s="229"/>
      <c r="C331" s="229"/>
      <c r="F331" s="229"/>
      <c r="G331" s="229"/>
    </row>
    <row r="332" spans="1:7" ht="19.5" customHeight="1">
      <c r="A332" s="229"/>
      <c r="B332" s="229"/>
      <c r="C332" s="229"/>
      <c r="F332" s="229"/>
      <c r="G332" s="229"/>
    </row>
    <row r="333" spans="1:7" ht="19.5" customHeight="1">
      <c r="A333" s="229"/>
      <c r="B333" s="229"/>
      <c r="C333" s="229"/>
      <c r="F333" s="229"/>
      <c r="G333" s="229"/>
    </row>
    <row r="334" spans="1:7" ht="19.5" customHeight="1">
      <c r="A334" s="229"/>
      <c r="B334" s="229"/>
      <c r="C334" s="229"/>
      <c r="F334" s="229"/>
      <c r="G334" s="229"/>
    </row>
    <row r="335" spans="1:7" ht="19.5" customHeight="1">
      <c r="A335" s="229"/>
      <c r="B335" s="229"/>
      <c r="C335" s="229"/>
      <c r="F335" s="229"/>
      <c r="G335" s="229"/>
    </row>
    <row r="336" spans="1:7" ht="19.5" customHeight="1">
      <c r="A336" s="229"/>
      <c r="B336" s="229"/>
      <c r="C336" s="229"/>
      <c r="F336" s="229"/>
      <c r="G336" s="229"/>
    </row>
    <row r="337" spans="1:7" ht="19.5" customHeight="1">
      <c r="A337" s="229"/>
      <c r="B337" s="229"/>
      <c r="C337" s="229"/>
      <c r="F337" s="229"/>
      <c r="G337" s="229"/>
    </row>
    <row r="338" spans="1:7" ht="19.5" customHeight="1">
      <c r="A338" s="229"/>
      <c r="B338" s="229"/>
      <c r="C338" s="229"/>
      <c r="F338" s="229"/>
      <c r="G338" s="229"/>
    </row>
    <row r="339" spans="1:7" ht="19.5" customHeight="1">
      <c r="A339" s="229"/>
      <c r="B339" s="229"/>
      <c r="C339" s="229"/>
      <c r="F339" s="229"/>
      <c r="G339" s="229"/>
    </row>
    <row r="340" spans="1:7" ht="19.5" customHeight="1">
      <c r="A340" s="229"/>
      <c r="B340" s="229"/>
      <c r="C340" s="229"/>
      <c r="F340" s="229"/>
      <c r="G340" s="229"/>
    </row>
    <row r="341" spans="1:7" ht="19.5" customHeight="1">
      <c r="A341" s="229"/>
      <c r="B341" s="229"/>
      <c r="C341" s="229"/>
      <c r="F341" s="229"/>
      <c r="G341" s="229"/>
    </row>
    <row r="342" spans="1:7" ht="19.5" customHeight="1">
      <c r="A342" s="229"/>
      <c r="B342" s="229"/>
      <c r="C342" s="229"/>
      <c r="F342" s="229"/>
      <c r="G342" s="229"/>
    </row>
    <row r="343" spans="1:7" ht="19.5" customHeight="1">
      <c r="A343" s="229"/>
      <c r="B343" s="229"/>
      <c r="C343" s="229"/>
      <c r="F343" s="229"/>
      <c r="G343" s="229"/>
    </row>
    <row r="344" spans="1:7" ht="19.5" customHeight="1">
      <c r="A344" s="229"/>
      <c r="B344" s="229"/>
      <c r="C344" s="229"/>
      <c r="F344" s="229"/>
      <c r="G344" s="229"/>
    </row>
    <row r="345" spans="1:7" ht="19.5" customHeight="1">
      <c r="A345" s="229"/>
      <c r="B345" s="229"/>
      <c r="C345" s="229"/>
      <c r="F345" s="229"/>
      <c r="G345" s="229"/>
    </row>
    <row r="346" spans="1:7" ht="19.5" customHeight="1">
      <c r="A346" s="229"/>
      <c r="B346" s="229"/>
      <c r="C346" s="229"/>
      <c r="F346" s="229"/>
      <c r="G346" s="229"/>
    </row>
    <row r="347" spans="1:7" ht="19.5" customHeight="1">
      <c r="A347" s="229"/>
      <c r="B347" s="229"/>
      <c r="C347" s="229"/>
      <c r="F347" s="229"/>
      <c r="G347" s="229"/>
    </row>
    <row r="348" spans="1:7" ht="19.5" customHeight="1">
      <c r="A348" s="229"/>
      <c r="B348" s="229"/>
      <c r="C348" s="229"/>
      <c r="F348" s="229"/>
      <c r="G348" s="229"/>
    </row>
    <row r="349" spans="1:7" ht="19.5" customHeight="1">
      <c r="A349" s="229"/>
      <c r="B349" s="229"/>
      <c r="C349" s="229"/>
      <c r="F349" s="229"/>
      <c r="G349" s="229"/>
    </row>
    <row r="350" spans="1:7" ht="19.5" customHeight="1">
      <c r="A350" s="229"/>
      <c r="B350" s="229"/>
      <c r="C350" s="229"/>
      <c r="F350" s="229"/>
      <c r="G350" s="229"/>
    </row>
    <row r="351" spans="1:7" ht="19.5" customHeight="1">
      <c r="A351" s="229"/>
      <c r="B351" s="229"/>
      <c r="C351" s="229"/>
      <c r="F351" s="229"/>
      <c r="G351" s="229"/>
    </row>
    <row r="352" spans="1:7" ht="19.5" customHeight="1">
      <c r="A352" s="229"/>
      <c r="B352" s="229"/>
      <c r="C352" s="229"/>
      <c r="F352" s="229"/>
      <c r="G352" s="229"/>
    </row>
    <row r="353" spans="1:7" ht="19.5" customHeight="1">
      <c r="A353" s="229"/>
      <c r="B353" s="229"/>
      <c r="C353" s="229"/>
      <c r="F353" s="229"/>
      <c r="G353" s="229"/>
    </row>
    <row r="354" spans="1:7" ht="19.5" customHeight="1">
      <c r="A354" s="229"/>
      <c r="B354" s="229"/>
      <c r="C354" s="229"/>
      <c r="F354" s="229"/>
      <c r="G354" s="229"/>
    </row>
    <row r="355" spans="1:7" ht="19.5" customHeight="1">
      <c r="A355" s="229"/>
      <c r="B355" s="229"/>
      <c r="C355" s="229"/>
      <c r="F355" s="229"/>
      <c r="G355" s="229"/>
    </row>
    <row r="356" spans="1:7" ht="19.5" customHeight="1">
      <c r="A356" s="229"/>
      <c r="B356" s="229"/>
      <c r="C356" s="229"/>
      <c r="F356" s="229"/>
      <c r="G356" s="229"/>
    </row>
    <row r="357" spans="1:7" ht="19.5" customHeight="1">
      <c r="A357" s="229"/>
      <c r="B357" s="229"/>
      <c r="C357" s="229"/>
      <c r="F357" s="229"/>
      <c r="G357" s="229"/>
    </row>
    <row r="358" spans="1:7" ht="19.5" customHeight="1">
      <c r="A358" s="229"/>
      <c r="B358" s="229"/>
      <c r="C358" s="229"/>
      <c r="F358" s="229"/>
      <c r="G358" s="229"/>
    </row>
    <row r="359" spans="1:7" ht="19.5" customHeight="1">
      <c r="A359" s="229"/>
      <c r="B359" s="229"/>
      <c r="C359" s="229"/>
      <c r="F359" s="229"/>
      <c r="G359" s="229"/>
    </row>
    <row r="360" spans="1:7" ht="19.5" customHeight="1">
      <c r="A360" s="229"/>
      <c r="B360" s="229"/>
      <c r="C360" s="229"/>
      <c r="F360" s="229"/>
      <c r="G360" s="229"/>
    </row>
    <row r="361" spans="1:7" ht="19.5" customHeight="1">
      <c r="A361" s="229"/>
      <c r="B361" s="229"/>
      <c r="C361" s="229"/>
      <c r="F361" s="229"/>
      <c r="G361" s="229"/>
    </row>
    <row r="362" spans="1:7" ht="19.5" customHeight="1">
      <c r="A362" s="229"/>
      <c r="B362" s="229"/>
      <c r="C362" s="229"/>
      <c r="F362" s="229"/>
      <c r="G362" s="229"/>
    </row>
    <row r="363" spans="1:7" ht="19.5" customHeight="1">
      <c r="A363" s="229"/>
      <c r="B363" s="229"/>
      <c r="C363" s="229"/>
      <c r="F363" s="229"/>
      <c r="G363" s="229"/>
    </row>
    <row r="364" spans="1:7" ht="19.5" customHeight="1">
      <c r="A364" s="229"/>
      <c r="B364" s="229"/>
      <c r="C364" s="229"/>
      <c r="F364" s="229"/>
      <c r="G364" s="229"/>
    </row>
    <row r="365" spans="1:7" ht="19.5" customHeight="1">
      <c r="A365" s="229"/>
      <c r="B365" s="229"/>
      <c r="C365" s="229"/>
      <c r="F365" s="229"/>
      <c r="G365" s="229"/>
    </row>
    <row r="366" spans="1:7" ht="19.5" customHeight="1">
      <c r="A366" s="229"/>
      <c r="B366" s="229"/>
      <c r="C366" s="229"/>
      <c r="F366" s="229"/>
      <c r="G366" s="229"/>
    </row>
    <row r="367" spans="1:7" ht="19.5" customHeight="1">
      <c r="A367" s="229"/>
      <c r="B367" s="229"/>
      <c r="C367" s="229"/>
      <c r="F367" s="229"/>
      <c r="G367" s="229"/>
    </row>
    <row r="368" spans="1:7" ht="19.5" customHeight="1">
      <c r="A368" s="229"/>
      <c r="B368" s="229"/>
      <c r="C368" s="229"/>
      <c r="F368" s="229"/>
      <c r="G368" s="229"/>
    </row>
    <row r="369" spans="1:7" ht="19.5" customHeight="1">
      <c r="A369" s="229"/>
      <c r="B369" s="229"/>
      <c r="C369" s="229"/>
      <c r="F369" s="229"/>
      <c r="G369" s="229"/>
    </row>
    <row r="370" spans="1:7" ht="19.5" customHeight="1">
      <c r="A370" s="229"/>
      <c r="B370" s="229"/>
      <c r="C370" s="229"/>
      <c r="F370" s="229"/>
      <c r="G370" s="229"/>
    </row>
    <row r="371" spans="1:7" ht="19.5" customHeight="1">
      <c r="A371" s="229"/>
      <c r="B371" s="229"/>
      <c r="C371" s="229"/>
      <c r="F371" s="229"/>
      <c r="G371" s="229"/>
    </row>
    <row r="372" spans="1:7" ht="19.5" customHeight="1">
      <c r="A372" s="229"/>
      <c r="B372" s="229"/>
      <c r="C372" s="229"/>
      <c r="F372" s="229"/>
      <c r="G372" s="229"/>
    </row>
    <row r="373" spans="1:7" ht="19.5" customHeight="1">
      <c r="A373" s="229"/>
      <c r="B373" s="229"/>
      <c r="C373" s="229"/>
      <c r="F373" s="229"/>
      <c r="G373" s="229"/>
    </row>
    <row r="374" spans="1:7" ht="19.5" customHeight="1">
      <c r="A374" s="229"/>
      <c r="B374" s="229"/>
      <c r="C374" s="229"/>
      <c r="F374" s="229"/>
      <c r="G374" s="229"/>
    </row>
    <row r="375" spans="1:7" ht="19.5" customHeight="1">
      <c r="A375" s="229"/>
      <c r="B375" s="229"/>
      <c r="C375" s="229"/>
      <c r="F375" s="229"/>
      <c r="G375" s="229"/>
    </row>
    <row r="376" spans="1:7" ht="19.5" customHeight="1">
      <c r="A376" s="229"/>
      <c r="B376" s="229"/>
      <c r="C376" s="229"/>
      <c r="F376" s="229"/>
      <c r="G376" s="229"/>
    </row>
    <row r="377" spans="1:7" ht="19.5" customHeight="1">
      <c r="A377" s="229"/>
      <c r="B377" s="229"/>
      <c r="C377" s="229"/>
      <c r="F377" s="229"/>
      <c r="G377" s="229"/>
    </row>
    <row r="378" spans="1:7" ht="19.5" customHeight="1">
      <c r="A378" s="229"/>
      <c r="B378" s="229"/>
      <c r="C378" s="229"/>
      <c r="F378" s="229"/>
      <c r="G378" s="229"/>
    </row>
    <row r="379" spans="1:7" ht="19.5" customHeight="1">
      <c r="A379" s="229"/>
      <c r="B379" s="229"/>
      <c r="C379" s="229"/>
      <c r="F379" s="229"/>
      <c r="G379" s="229"/>
    </row>
    <row r="380" spans="1:7" ht="19.5" customHeight="1">
      <c r="A380" s="229"/>
      <c r="B380" s="229"/>
      <c r="C380" s="229"/>
      <c r="F380" s="229"/>
      <c r="G380" s="229"/>
    </row>
    <row r="381" spans="1:7" ht="19.5" customHeight="1">
      <c r="A381" s="229"/>
      <c r="B381" s="229"/>
      <c r="C381" s="229"/>
      <c r="F381" s="229"/>
      <c r="G381" s="229"/>
    </row>
    <row r="382" spans="1:7" ht="19.5" customHeight="1">
      <c r="A382" s="229"/>
      <c r="B382" s="229"/>
      <c r="C382" s="229"/>
      <c r="F382" s="229"/>
      <c r="G382" s="229"/>
    </row>
    <row r="383" spans="1:7" ht="19.5" customHeight="1">
      <c r="A383" s="229"/>
      <c r="B383" s="229"/>
      <c r="C383" s="229"/>
      <c r="F383" s="229"/>
      <c r="G383" s="229"/>
    </row>
    <row r="384" spans="1:7" ht="19.5" customHeight="1">
      <c r="A384" s="229"/>
      <c r="B384" s="229"/>
      <c r="C384" s="229"/>
      <c r="F384" s="229"/>
      <c r="G384" s="229"/>
    </row>
    <row r="385" spans="1:7" ht="19.5" customHeight="1">
      <c r="A385" s="229"/>
      <c r="B385" s="229"/>
      <c r="C385" s="229"/>
      <c r="F385" s="229"/>
      <c r="G385" s="229"/>
    </row>
    <row r="386" spans="1:7" ht="19.5" customHeight="1">
      <c r="A386" s="229"/>
      <c r="B386" s="229"/>
      <c r="C386" s="229"/>
      <c r="F386" s="229"/>
      <c r="G386" s="229"/>
    </row>
    <row r="387" spans="1:7" ht="19.5" customHeight="1">
      <c r="A387" s="229"/>
      <c r="B387" s="229"/>
      <c r="C387" s="229"/>
      <c r="F387" s="229"/>
      <c r="G387" s="229"/>
    </row>
    <row r="388" spans="1:7" ht="19.5" customHeight="1">
      <c r="A388" s="229"/>
      <c r="B388" s="229"/>
      <c r="C388" s="229"/>
      <c r="F388" s="229"/>
      <c r="G388" s="229"/>
    </row>
    <row r="389" spans="1:7" ht="19.5" customHeight="1">
      <c r="A389" s="229"/>
      <c r="B389" s="229"/>
      <c r="C389" s="229"/>
      <c r="F389" s="229"/>
      <c r="G389" s="229"/>
    </row>
    <row r="390" spans="1:7" ht="19.5" customHeight="1">
      <c r="A390" s="229"/>
      <c r="B390" s="229"/>
      <c r="C390" s="229"/>
      <c r="F390" s="229"/>
      <c r="G390" s="229"/>
    </row>
    <row r="391" spans="1:7" ht="19.5" customHeight="1">
      <c r="A391" s="229"/>
      <c r="B391" s="229"/>
      <c r="C391" s="229"/>
      <c r="F391" s="229"/>
      <c r="G391" s="229"/>
    </row>
    <row r="392" spans="1:7" ht="19.5" customHeight="1">
      <c r="A392" s="229"/>
      <c r="B392" s="229"/>
      <c r="C392" s="229"/>
      <c r="F392" s="229"/>
      <c r="G392" s="229"/>
    </row>
    <row r="393" spans="1:7" ht="19.5" customHeight="1">
      <c r="A393" s="229"/>
      <c r="B393" s="229"/>
      <c r="C393" s="229"/>
      <c r="F393" s="229"/>
      <c r="G393" s="229"/>
    </row>
    <row r="394" spans="1:7" ht="19.5" customHeight="1">
      <c r="A394" s="229"/>
      <c r="B394" s="229"/>
      <c r="C394" s="229"/>
      <c r="F394" s="229"/>
      <c r="G394" s="229"/>
    </row>
    <row r="395" spans="1:7" ht="19.5" customHeight="1">
      <c r="A395" s="229"/>
      <c r="B395" s="229"/>
      <c r="C395" s="229"/>
      <c r="F395" s="229"/>
      <c r="G395" s="229"/>
    </row>
    <row r="396" spans="1:7" ht="19.5" customHeight="1">
      <c r="A396" s="229"/>
      <c r="B396" s="229"/>
      <c r="C396" s="229"/>
      <c r="F396" s="229"/>
      <c r="G396" s="229"/>
    </row>
    <row r="397" spans="1:7" ht="19.5" customHeight="1">
      <c r="A397" s="229"/>
      <c r="B397" s="229"/>
      <c r="C397" s="229"/>
      <c r="F397" s="229"/>
      <c r="G397" s="229"/>
    </row>
    <row r="398" spans="1:7" ht="19.5" customHeight="1">
      <c r="A398" s="229"/>
      <c r="B398" s="229"/>
      <c r="C398" s="229"/>
      <c r="F398" s="229"/>
      <c r="G398" s="229"/>
    </row>
    <row r="399" spans="1:7" ht="19.5" customHeight="1">
      <c r="A399" s="229"/>
      <c r="B399" s="229"/>
      <c r="C399" s="229"/>
      <c r="F399" s="229"/>
      <c r="G399" s="229"/>
    </row>
    <row r="400" spans="1:7" ht="19.5" customHeight="1">
      <c r="A400" s="229"/>
      <c r="B400" s="229"/>
      <c r="C400" s="229"/>
      <c r="F400" s="229"/>
      <c r="G400" s="229"/>
    </row>
    <row r="401" spans="1:7" ht="19.5" customHeight="1">
      <c r="A401" s="229"/>
      <c r="B401" s="229"/>
      <c r="C401" s="229"/>
      <c r="F401" s="229"/>
      <c r="G401" s="229"/>
    </row>
    <row r="402" spans="1:7" ht="19.5" customHeight="1">
      <c r="A402" s="229"/>
      <c r="B402" s="229"/>
      <c r="C402" s="229"/>
      <c r="F402" s="229"/>
      <c r="G402" s="229"/>
    </row>
    <row r="403" spans="1:7" ht="19.5" customHeight="1">
      <c r="A403" s="229"/>
      <c r="B403" s="229"/>
      <c r="C403" s="229"/>
      <c r="F403" s="229"/>
      <c r="G403" s="229"/>
    </row>
    <row r="404" spans="1:7" ht="19.5" customHeight="1">
      <c r="A404" s="229"/>
      <c r="B404" s="229"/>
      <c r="C404" s="229"/>
      <c r="F404" s="229"/>
      <c r="G404" s="229"/>
    </row>
    <row r="405" spans="1:7" ht="19.5" customHeight="1">
      <c r="A405" s="229"/>
      <c r="B405" s="229"/>
      <c r="C405" s="229"/>
      <c r="F405" s="229"/>
      <c r="G405" s="229"/>
    </row>
    <row r="406" spans="1:7" ht="19.5" customHeight="1">
      <c r="A406" s="229"/>
      <c r="B406" s="229"/>
      <c r="C406" s="229"/>
      <c r="F406" s="229"/>
      <c r="G406" s="229"/>
    </row>
    <row r="407" spans="1:7" ht="19.5" customHeight="1">
      <c r="A407" s="229"/>
      <c r="B407" s="229"/>
      <c r="C407" s="229"/>
      <c r="F407" s="229"/>
      <c r="G407" s="229"/>
    </row>
    <row r="408" spans="1:7" ht="19.5" customHeight="1">
      <c r="A408" s="229"/>
      <c r="B408" s="229"/>
      <c r="C408" s="229"/>
      <c r="F408" s="229"/>
      <c r="G408" s="229"/>
    </row>
    <row r="409" spans="1:7" ht="19.5" customHeight="1">
      <c r="A409" s="229"/>
      <c r="B409" s="229"/>
      <c r="C409" s="229"/>
      <c r="F409" s="229"/>
      <c r="G409" s="229"/>
    </row>
    <row r="410" spans="1:7" ht="19.5" customHeight="1">
      <c r="A410" s="229"/>
      <c r="B410" s="229"/>
      <c r="C410" s="229"/>
      <c r="F410" s="229"/>
      <c r="G410" s="229"/>
    </row>
    <row r="411" spans="1:7" ht="19.5" customHeight="1">
      <c r="A411" s="229"/>
      <c r="B411" s="229"/>
      <c r="C411" s="229"/>
      <c r="F411" s="229"/>
      <c r="G411" s="229"/>
    </row>
    <row r="412" spans="1:7" ht="19.5" customHeight="1">
      <c r="A412" s="229"/>
      <c r="B412" s="229"/>
      <c r="C412" s="229"/>
      <c r="F412" s="229"/>
      <c r="G412" s="229"/>
    </row>
    <row r="413" spans="1:7" ht="19.5" customHeight="1">
      <c r="A413" s="229"/>
      <c r="B413" s="229"/>
      <c r="C413" s="229"/>
      <c r="F413" s="229"/>
      <c r="G413" s="229"/>
    </row>
    <row r="414" spans="1:7" ht="19.5" customHeight="1">
      <c r="A414" s="229"/>
      <c r="B414" s="229"/>
      <c r="C414" s="229"/>
      <c r="F414" s="229"/>
      <c r="G414" s="229"/>
    </row>
    <row r="415" spans="1:7" ht="19.5" customHeight="1">
      <c r="A415" s="229"/>
      <c r="B415" s="229"/>
      <c r="C415" s="229"/>
      <c r="F415" s="229"/>
      <c r="G415" s="229"/>
    </row>
    <row r="416" spans="1:7" ht="19.5" customHeight="1">
      <c r="A416" s="229"/>
      <c r="B416" s="229"/>
      <c r="C416" s="229"/>
      <c r="F416" s="229"/>
      <c r="G416" s="229"/>
    </row>
    <row r="417" spans="1:7" ht="19.5" customHeight="1">
      <c r="A417" s="229"/>
      <c r="B417" s="229"/>
      <c r="C417" s="229"/>
      <c r="F417" s="229"/>
      <c r="G417" s="229"/>
    </row>
    <row r="418" spans="1:7" ht="19.5" customHeight="1">
      <c r="A418" s="229"/>
      <c r="B418" s="229"/>
      <c r="C418" s="229"/>
      <c r="F418" s="229"/>
      <c r="G418" s="229"/>
    </row>
    <row r="419" spans="1:7" ht="19.5" customHeight="1">
      <c r="A419" s="229"/>
      <c r="B419" s="229"/>
      <c r="C419" s="229"/>
      <c r="F419" s="229"/>
      <c r="G419" s="229"/>
    </row>
    <row r="420" spans="1:7" ht="19.5" customHeight="1">
      <c r="A420" s="229"/>
      <c r="B420" s="229"/>
      <c r="C420" s="229"/>
      <c r="F420" s="229"/>
      <c r="G420" s="229"/>
    </row>
    <row r="421" spans="1:7" ht="19.5" customHeight="1">
      <c r="A421" s="229"/>
      <c r="B421" s="229"/>
      <c r="C421" s="229"/>
      <c r="F421" s="229"/>
      <c r="G421" s="229"/>
    </row>
    <row r="422" spans="1:7" ht="19.5" customHeight="1">
      <c r="A422" s="229"/>
      <c r="B422" s="229"/>
      <c r="C422" s="229"/>
      <c r="F422" s="229"/>
      <c r="G422" s="229"/>
    </row>
    <row r="423" spans="1:7" ht="19.5" customHeight="1">
      <c r="A423" s="229"/>
      <c r="B423" s="229"/>
      <c r="C423" s="229"/>
      <c r="F423" s="229"/>
      <c r="G423" s="229"/>
    </row>
    <row r="424" spans="1:7" ht="19.5" customHeight="1">
      <c r="A424" s="229"/>
      <c r="B424" s="229"/>
      <c r="C424" s="229"/>
      <c r="F424" s="229"/>
      <c r="G424" s="229"/>
    </row>
    <row r="425" spans="1:7" ht="19.5" customHeight="1">
      <c r="A425" s="229"/>
      <c r="B425" s="229"/>
      <c r="C425" s="229"/>
      <c r="F425" s="229"/>
      <c r="G425" s="229"/>
    </row>
    <row r="426" spans="1:7" ht="19.5" customHeight="1">
      <c r="A426" s="229"/>
      <c r="B426" s="229"/>
      <c r="C426" s="229"/>
      <c r="F426" s="229"/>
      <c r="G426" s="229"/>
    </row>
    <row r="427" spans="1:7" ht="19.5" customHeight="1">
      <c r="A427" s="229"/>
      <c r="B427" s="229"/>
      <c r="C427" s="229"/>
      <c r="F427" s="229"/>
      <c r="G427" s="229"/>
    </row>
    <row r="428" spans="1:7" ht="19.5" customHeight="1">
      <c r="A428" s="229"/>
      <c r="B428" s="229"/>
      <c r="C428" s="229"/>
      <c r="F428" s="229"/>
      <c r="G428" s="229"/>
    </row>
    <row r="429" spans="1:7" ht="19.5" customHeight="1">
      <c r="A429" s="229"/>
      <c r="B429" s="229"/>
      <c r="C429" s="229"/>
      <c r="F429" s="229"/>
      <c r="G429" s="229"/>
    </row>
    <row r="430" spans="1:7" ht="19.5" customHeight="1">
      <c r="A430" s="229"/>
      <c r="B430" s="229"/>
      <c r="C430" s="229"/>
      <c r="F430" s="229"/>
      <c r="G430" s="229"/>
    </row>
    <row r="431" spans="1:7" ht="19.5" customHeight="1">
      <c r="A431" s="229"/>
      <c r="B431" s="229"/>
      <c r="C431" s="229"/>
      <c r="F431" s="229"/>
      <c r="G431" s="229"/>
    </row>
    <row r="432" spans="1:7" ht="19.5" customHeight="1">
      <c r="A432" s="229"/>
      <c r="B432" s="229"/>
      <c r="C432" s="229"/>
      <c r="F432" s="229"/>
      <c r="G432" s="229"/>
    </row>
    <row r="433" spans="1:7" ht="19.5" customHeight="1">
      <c r="A433" s="229"/>
      <c r="B433" s="229"/>
      <c r="C433" s="229"/>
      <c r="F433" s="229"/>
      <c r="G433" s="229"/>
    </row>
    <row r="434" spans="1:7" ht="19.5" customHeight="1">
      <c r="A434" s="229"/>
      <c r="B434" s="229"/>
      <c r="C434" s="229"/>
      <c r="F434" s="229"/>
      <c r="G434" s="229"/>
    </row>
    <row r="435" spans="1:7" ht="19.5" customHeight="1">
      <c r="A435" s="229"/>
      <c r="B435" s="229"/>
      <c r="C435" s="229"/>
      <c r="F435" s="229"/>
      <c r="G435" s="229"/>
    </row>
    <row r="436" spans="1:7" ht="19.5" customHeight="1">
      <c r="A436" s="229"/>
      <c r="B436" s="229"/>
      <c r="C436" s="229"/>
      <c r="F436" s="229"/>
      <c r="G436" s="229"/>
    </row>
    <row r="437" spans="1:7" ht="19.5" customHeight="1">
      <c r="A437" s="229"/>
      <c r="B437" s="229"/>
      <c r="C437" s="229"/>
      <c r="F437" s="229"/>
      <c r="G437" s="229"/>
    </row>
    <row r="438" spans="1:7" ht="19.5" customHeight="1">
      <c r="A438" s="229"/>
      <c r="B438" s="229"/>
      <c r="C438" s="229"/>
      <c r="F438" s="229"/>
      <c r="G438" s="229"/>
    </row>
    <row r="439" spans="1:7" ht="19.5" customHeight="1">
      <c r="A439" s="229"/>
      <c r="B439" s="229"/>
      <c r="C439" s="229"/>
      <c r="F439" s="229"/>
      <c r="G439" s="229"/>
    </row>
    <row r="440" spans="1:7" ht="19.5" customHeight="1">
      <c r="A440" s="229"/>
      <c r="B440" s="229"/>
      <c r="C440" s="229"/>
      <c r="F440" s="229"/>
      <c r="G440" s="229"/>
    </row>
    <row r="441" spans="1:7" ht="19.5" customHeight="1">
      <c r="A441" s="229"/>
      <c r="B441" s="229"/>
      <c r="C441" s="229"/>
      <c r="F441" s="229"/>
      <c r="G441" s="229"/>
    </row>
    <row r="442" spans="1:7" ht="19.5" customHeight="1">
      <c r="A442" s="229"/>
      <c r="B442" s="229"/>
      <c r="C442" s="229"/>
      <c r="F442" s="229"/>
      <c r="G442" s="229"/>
    </row>
    <row r="443" spans="1:7" ht="19.5" customHeight="1">
      <c r="A443" s="229"/>
      <c r="B443" s="229"/>
      <c r="C443" s="229"/>
      <c r="F443" s="229"/>
      <c r="G443" s="229"/>
    </row>
    <row r="444" spans="1:7" ht="19.5" customHeight="1">
      <c r="A444" s="229"/>
      <c r="B444" s="229"/>
      <c r="C444" s="229"/>
      <c r="F444" s="229"/>
      <c r="G444" s="229"/>
    </row>
    <row r="445" spans="1:7" ht="19.5" customHeight="1">
      <c r="A445" s="229"/>
      <c r="B445" s="229"/>
      <c r="C445" s="229"/>
      <c r="F445" s="229"/>
      <c r="G445" s="229"/>
    </row>
    <row r="446" spans="1:7" ht="19.5" customHeight="1">
      <c r="A446" s="229"/>
      <c r="B446" s="229"/>
      <c r="C446" s="229"/>
      <c r="F446" s="229"/>
      <c r="G446" s="229"/>
    </row>
    <row r="447" spans="1:7" ht="19.5" customHeight="1">
      <c r="A447" s="229"/>
      <c r="B447" s="229"/>
      <c r="C447" s="229"/>
      <c r="F447" s="229"/>
      <c r="G447" s="229"/>
    </row>
    <row r="448" spans="1:7" ht="19.5" customHeight="1">
      <c r="A448" s="229"/>
      <c r="B448" s="229"/>
      <c r="C448" s="229"/>
      <c r="F448" s="229"/>
      <c r="G448" s="229"/>
    </row>
    <row r="449" spans="1:7" ht="19.5" customHeight="1">
      <c r="A449" s="229"/>
      <c r="B449" s="229"/>
      <c r="C449" s="229"/>
      <c r="F449" s="229"/>
      <c r="G449" s="229"/>
    </row>
    <row r="450" spans="1:7" ht="19.5" customHeight="1">
      <c r="A450" s="229"/>
      <c r="B450" s="229"/>
      <c r="C450" s="229"/>
      <c r="F450" s="229"/>
      <c r="G450" s="229"/>
    </row>
    <row r="451" spans="1:7" ht="19.5" customHeight="1">
      <c r="A451" s="229"/>
      <c r="B451" s="229"/>
      <c r="C451" s="229"/>
      <c r="F451" s="229"/>
      <c r="G451" s="229"/>
    </row>
    <row r="452" spans="1:7" ht="19.5" customHeight="1">
      <c r="A452" s="229"/>
      <c r="B452" s="229"/>
      <c r="C452" s="229"/>
      <c r="F452" s="229"/>
      <c r="G452" s="229"/>
    </row>
    <row r="453" spans="1:7" ht="19.5" customHeight="1">
      <c r="A453" s="229"/>
      <c r="B453" s="229"/>
      <c r="C453" s="229"/>
      <c r="F453" s="229"/>
      <c r="G453" s="229"/>
    </row>
    <row r="454" spans="1:7" ht="19.5" customHeight="1">
      <c r="A454" s="229"/>
      <c r="B454" s="229"/>
      <c r="C454" s="229"/>
      <c r="F454" s="229"/>
      <c r="G454" s="229"/>
    </row>
    <row r="455" spans="1:7" ht="19.5" customHeight="1">
      <c r="A455" s="229"/>
      <c r="B455" s="229"/>
      <c r="C455" s="229"/>
      <c r="F455" s="229"/>
      <c r="G455" s="229"/>
    </row>
    <row r="456" spans="1:7" ht="19.5" customHeight="1">
      <c r="A456" s="229"/>
      <c r="B456" s="229"/>
      <c r="C456" s="229"/>
      <c r="F456" s="229"/>
      <c r="G456" s="229"/>
    </row>
    <row r="457" spans="1:7" ht="19.5" customHeight="1">
      <c r="A457" s="229"/>
      <c r="B457" s="229"/>
      <c r="C457" s="229"/>
      <c r="F457" s="229"/>
      <c r="G457" s="229"/>
    </row>
    <row r="458" spans="1:7" ht="19.5" customHeight="1">
      <c r="A458" s="229"/>
      <c r="B458" s="229"/>
      <c r="C458" s="229"/>
      <c r="F458" s="229"/>
      <c r="G458" s="229"/>
    </row>
    <row r="459" spans="1:7" ht="19.5" customHeight="1">
      <c r="A459" s="229"/>
      <c r="B459" s="229"/>
      <c r="C459" s="229"/>
      <c r="F459" s="229"/>
      <c r="G459" s="229"/>
    </row>
    <row r="460" spans="1:7" ht="19.5" customHeight="1">
      <c r="A460" s="229"/>
      <c r="B460" s="229"/>
      <c r="C460" s="229"/>
      <c r="F460" s="229"/>
      <c r="G460" s="229"/>
    </row>
    <row r="461" spans="1:7" ht="19.5" customHeight="1">
      <c r="A461" s="229"/>
      <c r="B461" s="229"/>
      <c r="C461" s="229"/>
      <c r="F461" s="229"/>
      <c r="G461" s="229"/>
    </row>
    <row r="462" spans="1:7" ht="19.5" customHeight="1">
      <c r="A462" s="229"/>
      <c r="B462" s="229"/>
      <c r="C462" s="229"/>
      <c r="F462" s="229"/>
      <c r="G462" s="229"/>
    </row>
    <row r="463" spans="1:7" ht="19.5" customHeight="1">
      <c r="A463" s="229"/>
      <c r="B463" s="229"/>
      <c r="C463" s="229"/>
      <c r="F463" s="229"/>
      <c r="G463" s="229"/>
    </row>
    <row r="464" spans="1:7" ht="19.5" customHeight="1">
      <c r="A464" s="229"/>
      <c r="B464" s="229"/>
      <c r="C464" s="229"/>
      <c r="F464" s="229"/>
      <c r="G464" s="229"/>
    </row>
    <row r="465" spans="1:7" ht="19.5" customHeight="1">
      <c r="A465" s="229"/>
      <c r="B465" s="229"/>
      <c r="C465" s="229"/>
      <c r="F465" s="229"/>
      <c r="G465" s="229"/>
    </row>
    <row r="466" spans="1:7" ht="19.5" customHeight="1">
      <c r="A466" s="229"/>
      <c r="B466" s="229"/>
      <c r="C466" s="229"/>
      <c r="F466" s="229"/>
      <c r="G466" s="229"/>
    </row>
    <row r="467" spans="1:7" ht="19.5" customHeight="1">
      <c r="A467" s="229"/>
      <c r="B467" s="229"/>
      <c r="C467" s="229"/>
      <c r="F467" s="229"/>
      <c r="G467" s="229"/>
    </row>
    <row r="468" spans="1:7" ht="19.5" customHeight="1">
      <c r="A468" s="229"/>
      <c r="B468" s="229"/>
      <c r="C468" s="229"/>
      <c r="F468" s="229"/>
      <c r="G468" s="229"/>
    </row>
    <row r="469" spans="1:7" ht="19.5" customHeight="1">
      <c r="A469" s="229"/>
      <c r="B469" s="229"/>
      <c r="C469" s="229"/>
      <c r="F469" s="229"/>
      <c r="G469" s="229"/>
    </row>
    <row r="470" spans="1:7" ht="19.5" customHeight="1">
      <c r="A470" s="229"/>
      <c r="B470" s="229"/>
      <c r="C470" s="229"/>
      <c r="F470" s="229"/>
      <c r="G470" s="229"/>
    </row>
    <row r="471" spans="1:7" ht="19.5" customHeight="1">
      <c r="A471" s="229"/>
      <c r="B471" s="229"/>
      <c r="C471" s="229"/>
      <c r="F471" s="229"/>
      <c r="G471" s="229"/>
    </row>
    <row r="472" spans="1:7" ht="19.5" customHeight="1">
      <c r="A472" s="229"/>
      <c r="B472" s="229"/>
      <c r="C472" s="229"/>
      <c r="F472" s="229"/>
      <c r="G472" s="229"/>
    </row>
    <row r="473" spans="1:7" ht="19.5" customHeight="1">
      <c r="A473" s="229"/>
      <c r="B473" s="229"/>
      <c r="C473" s="229"/>
      <c r="F473" s="229"/>
      <c r="G473" s="229"/>
    </row>
    <row r="474" spans="1:7" ht="19.5" customHeight="1">
      <c r="A474" s="229"/>
      <c r="B474" s="229"/>
      <c r="C474" s="229"/>
      <c r="F474" s="229"/>
      <c r="G474" s="229"/>
    </row>
    <row r="475" spans="1:7" ht="19.5" customHeight="1">
      <c r="A475" s="229"/>
      <c r="B475" s="229"/>
      <c r="C475" s="229"/>
      <c r="F475" s="229"/>
      <c r="G475" s="229"/>
    </row>
    <row r="476" spans="1:7" ht="19.5" customHeight="1">
      <c r="A476" s="229"/>
      <c r="B476" s="229"/>
      <c r="C476" s="229"/>
      <c r="F476" s="229"/>
      <c r="G476" s="229"/>
    </row>
    <row r="477" spans="1:7" ht="19.5" customHeight="1">
      <c r="A477" s="229"/>
      <c r="B477" s="229"/>
      <c r="C477" s="229"/>
      <c r="F477" s="229"/>
      <c r="G477" s="229"/>
    </row>
    <row r="478" spans="1:7" ht="19.5" customHeight="1">
      <c r="A478" s="229"/>
      <c r="B478" s="229"/>
      <c r="C478" s="229"/>
      <c r="F478" s="229"/>
      <c r="G478" s="229"/>
    </row>
    <row r="479" spans="1:7" ht="19.5" customHeight="1">
      <c r="A479" s="229"/>
      <c r="B479" s="229"/>
      <c r="C479" s="229"/>
      <c r="F479" s="229"/>
      <c r="G479" s="229"/>
    </row>
    <row r="480" spans="1:7" ht="19.5" customHeight="1">
      <c r="A480" s="229"/>
      <c r="B480" s="229"/>
      <c r="C480" s="229"/>
      <c r="F480" s="229"/>
      <c r="G480" s="229"/>
    </row>
    <row r="481" spans="1:7" ht="19.5" customHeight="1">
      <c r="A481" s="229"/>
      <c r="B481" s="229"/>
      <c r="C481" s="229"/>
      <c r="F481" s="229"/>
      <c r="G481" s="229"/>
    </row>
    <row r="482" spans="1:7" ht="19.5" customHeight="1">
      <c r="A482" s="229"/>
      <c r="B482" s="229"/>
      <c r="C482" s="229"/>
      <c r="F482" s="229"/>
      <c r="G482" s="229"/>
    </row>
    <row r="483" spans="1:7" ht="19.5" customHeight="1">
      <c r="A483" s="229"/>
      <c r="B483" s="229"/>
      <c r="C483" s="229"/>
      <c r="F483" s="229"/>
      <c r="G483" s="229"/>
    </row>
    <row r="484" spans="1:7" ht="19.5" customHeight="1">
      <c r="A484" s="229"/>
      <c r="B484" s="229"/>
      <c r="C484" s="229"/>
      <c r="F484" s="229"/>
      <c r="G484" s="229"/>
    </row>
    <row r="485" spans="1:7" ht="19.5" customHeight="1">
      <c r="A485" s="229"/>
      <c r="B485" s="229"/>
      <c r="C485" s="229"/>
      <c r="F485" s="229"/>
      <c r="G485" s="229"/>
    </row>
    <row r="486" spans="1:7" ht="19.5" customHeight="1">
      <c r="A486" s="229"/>
      <c r="B486" s="229"/>
      <c r="C486" s="229"/>
      <c r="F486" s="229"/>
      <c r="G486" s="229"/>
    </row>
    <row r="487" spans="1:7" ht="19.5" customHeight="1">
      <c r="A487" s="229"/>
      <c r="B487" s="229"/>
      <c r="C487" s="229"/>
      <c r="F487" s="229"/>
      <c r="G487" s="229"/>
    </row>
    <row r="488" spans="1:7" ht="19.5" customHeight="1">
      <c r="A488" s="229"/>
      <c r="B488" s="229"/>
      <c r="C488" s="229"/>
      <c r="F488" s="229"/>
      <c r="G488" s="229"/>
    </row>
    <row r="489" spans="1:7" ht="19.5" customHeight="1">
      <c r="A489" s="229"/>
      <c r="B489" s="229"/>
      <c r="C489" s="229"/>
      <c r="F489" s="229"/>
      <c r="G489" s="229"/>
    </row>
    <row r="490" spans="1:7" ht="19.5" customHeight="1">
      <c r="A490" s="229"/>
      <c r="B490" s="229"/>
      <c r="C490" s="229"/>
      <c r="F490" s="229"/>
      <c r="G490" s="229"/>
    </row>
    <row r="491" spans="1:7" ht="19.5" customHeight="1">
      <c r="A491" s="229"/>
      <c r="B491" s="229"/>
      <c r="C491" s="229"/>
      <c r="F491" s="229"/>
      <c r="G491" s="229"/>
    </row>
    <row r="492" spans="1:7" ht="19.5" customHeight="1">
      <c r="A492" s="229"/>
      <c r="B492" s="229"/>
      <c r="C492" s="229"/>
      <c r="F492" s="229"/>
      <c r="G492" s="229"/>
    </row>
    <row r="493" spans="1:7" ht="19.5" customHeight="1">
      <c r="A493" s="229"/>
      <c r="B493" s="229"/>
      <c r="C493" s="229"/>
      <c r="F493" s="229"/>
      <c r="G493" s="229"/>
    </row>
    <row r="494" spans="1:7" ht="19.5" customHeight="1">
      <c r="A494" s="229"/>
      <c r="B494" s="229"/>
      <c r="C494" s="229"/>
      <c r="F494" s="229"/>
      <c r="G494" s="229"/>
    </row>
    <row r="495" spans="1:7" ht="19.5" customHeight="1">
      <c r="A495" s="229"/>
      <c r="B495" s="229"/>
      <c r="C495" s="229"/>
      <c r="F495" s="229"/>
      <c r="G495" s="229"/>
    </row>
    <row r="496" spans="1:7" ht="19.5" customHeight="1">
      <c r="A496" s="229"/>
      <c r="B496" s="229"/>
      <c r="C496" s="229"/>
      <c r="F496" s="229"/>
      <c r="G496" s="229"/>
    </row>
    <row r="497" spans="1:7" ht="19.5" customHeight="1">
      <c r="A497" s="229"/>
      <c r="B497" s="229"/>
      <c r="C497" s="229"/>
      <c r="F497" s="229"/>
      <c r="G497" s="229"/>
    </row>
    <row r="498" spans="1:7" ht="19.5" customHeight="1">
      <c r="A498" s="229"/>
      <c r="B498" s="229"/>
      <c r="C498" s="229"/>
      <c r="F498" s="229"/>
      <c r="G498" s="229"/>
    </row>
    <row r="499" spans="1:7" ht="19.5" customHeight="1">
      <c r="A499" s="229"/>
      <c r="B499" s="229"/>
      <c r="C499" s="229"/>
      <c r="F499" s="229"/>
      <c r="G499" s="229"/>
    </row>
    <row r="500" spans="1:7" ht="19.5" customHeight="1">
      <c r="A500" s="229"/>
      <c r="B500" s="229"/>
      <c r="C500" s="229"/>
      <c r="F500" s="229"/>
      <c r="G500" s="229"/>
    </row>
    <row r="501" spans="1:7" ht="19.5" customHeight="1">
      <c r="A501" s="229"/>
      <c r="B501" s="229"/>
      <c r="C501" s="229"/>
      <c r="F501" s="229"/>
      <c r="G501" s="229"/>
    </row>
    <row r="502" spans="1:7" ht="19.5" customHeight="1">
      <c r="A502" s="229"/>
      <c r="B502" s="229"/>
      <c r="C502" s="229"/>
      <c r="F502" s="229"/>
      <c r="G502" s="229"/>
    </row>
    <row r="503" spans="1:7" ht="19.5" customHeight="1">
      <c r="A503" s="229"/>
      <c r="B503" s="229"/>
      <c r="C503" s="229"/>
      <c r="F503" s="229"/>
      <c r="G503" s="229"/>
    </row>
    <row r="504" spans="1:7" ht="19.5" customHeight="1">
      <c r="A504" s="229"/>
      <c r="B504" s="229"/>
      <c r="C504" s="229"/>
      <c r="F504" s="229"/>
      <c r="G504" s="229"/>
    </row>
    <row r="505" spans="1:7" ht="19.5" customHeight="1">
      <c r="A505" s="229"/>
      <c r="B505" s="229"/>
      <c r="C505" s="229"/>
      <c r="F505" s="229"/>
      <c r="G505" s="229"/>
    </row>
    <row r="506" spans="1:7" ht="19.5" customHeight="1">
      <c r="A506" s="229"/>
      <c r="B506" s="229"/>
      <c r="C506" s="229"/>
      <c r="F506" s="229"/>
      <c r="G506" s="229"/>
    </row>
    <row r="507" spans="1:7" ht="19.5" customHeight="1">
      <c r="A507" s="229"/>
      <c r="B507" s="229"/>
      <c r="C507" s="229"/>
      <c r="F507" s="229"/>
      <c r="G507" s="229"/>
    </row>
    <row r="508" spans="1:7" ht="19.5" customHeight="1">
      <c r="A508" s="229"/>
      <c r="B508" s="229"/>
      <c r="C508" s="229"/>
      <c r="F508" s="229"/>
      <c r="G508" s="229"/>
    </row>
    <row r="509" spans="1:7" ht="19.5" customHeight="1">
      <c r="A509" s="229"/>
      <c r="B509" s="229"/>
      <c r="C509" s="229"/>
      <c r="F509" s="229"/>
      <c r="G509" s="229"/>
    </row>
    <row r="510" spans="1:7" ht="19.5" customHeight="1">
      <c r="A510" s="229"/>
      <c r="B510" s="229"/>
      <c r="C510" s="229"/>
      <c r="F510" s="229"/>
      <c r="G510" s="229"/>
    </row>
    <row r="511" spans="1:7" ht="19.5" customHeight="1">
      <c r="A511" s="229"/>
      <c r="B511" s="229"/>
      <c r="C511" s="229"/>
      <c r="F511" s="229"/>
      <c r="G511" s="229"/>
    </row>
    <row r="512" spans="1:7" ht="19.5" customHeight="1">
      <c r="A512" s="229"/>
      <c r="B512" s="229"/>
      <c r="C512" s="229"/>
      <c r="F512" s="229"/>
      <c r="G512" s="229"/>
    </row>
    <row r="513" spans="1:7" ht="19.5" customHeight="1">
      <c r="A513" s="229"/>
      <c r="B513" s="229"/>
      <c r="C513" s="229"/>
      <c r="F513" s="229"/>
      <c r="G513" s="229"/>
    </row>
    <row r="514" spans="1:7" ht="19.5" customHeight="1">
      <c r="A514" s="229"/>
      <c r="B514" s="229"/>
      <c r="C514" s="229"/>
      <c r="F514" s="229"/>
      <c r="G514" s="229"/>
    </row>
    <row r="515" spans="1:7" ht="19.5" customHeight="1">
      <c r="A515" s="229"/>
      <c r="B515" s="229"/>
      <c r="C515" s="229"/>
      <c r="F515" s="229"/>
      <c r="G515" s="229"/>
    </row>
    <row r="516" spans="1:7" ht="19.5" customHeight="1">
      <c r="A516" s="229"/>
      <c r="B516" s="229"/>
      <c r="C516" s="229"/>
      <c r="F516" s="229"/>
      <c r="G516" s="229"/>
    </row>
    <row r="517" spans="1:7" ht="19.5" customHeight="1">
      <c r="A517" s="229"/>
      <c r="B517" s="229"/>
      <c r="C517" s="229"/>
      <c r="F517" s="229"/>
      <c r="G517" s="229"/>
    </row>
    <row r="518" spans="1:7" ht="19.5" customHeight="1">
      <c r="A518" s="229"/>
      <c r="B518" s="229"/>
      <c r="C518" s="229"/>
      <c r="F518" s="229"/>
      <c r="G518" s="229"/>
    </row>
    <row r="519" spans="1:7" ht="19.5" customHeight="1">
      <c r="A519" s="229"/>
      <c r="B519" s="229"/>
      <c r="C519" s="229"/>
      <c r="F519" s="229"/>
      <c r="G519" s="229"/>
    </row>
    <row r="520" spans="1:7" ht="19.5" customHeight="1">
      <c r="A520" s="229"/>
      <c r="B520" s="229"/>
      <c r="C520" s="229"/>
      <c r="F520" s="229"/>
      <c r="G520" s="229"/>
    </row>
    <row r="521" spans="1:7" ht="19.5" customHeight="1">
      <c r="A521" s="229"/>
      <c r="B521" s="229"/>
      <c r="C521" s="229"/>
      <c r="F521" s="229"/>
      <c r="G521" s="229"/>
    </row>
    <row r="522" spans="1:7" ht="19.5" customHeight="1">
      <c r="A522" s="229"/>
      <c r="B522" s="229"/>
      <c r="C522" s="229"/>
      <c r="F522" s="229"/>
      <c r="G522" s="229"/>
    </row>
    <row r="523" spans="1:7" ht="19.5" customHeight="1">
      <c r="A523" s="229"/>
      <c r="B523" s="229"/>
      <c r="C523" s="229"/>
      <c r="F523" s="229"/>
      <c r="G523" s="229"/>
    </row>
    <row r="524" spans="1:7" ht="19.5" customHeight="1">
      <c r="A524" s="229"/>
      <c r="B524" s="229"/>
      <c r="C524" s="229"/>
      <c r="F524" s="229"/>
      <c r="G524" s="229"/>
    </row>
    <row r="525" spans="1:7" ht="19.5" customHeight="1">
      <c r="A525" s="229"/>
      <c r="B525" s="229"/>
      <c r="C525" s="229"/>
      <c r="F525" s="229"/>
      <c r="G525" s="229"/>
    </row>
    <row r="526" spans="1:7" ht="19.5" customHeight="1">
      <c r="A526" s="229"/>
      <c r="B526" s="229"/>
      <c r="C526" s="229"/>
      <c r="F526" s="229"/>
      <c r="G526" s="229"/>
    </row>
    <row r="527" spans="1:7" ht="19.5" customHeight="1">
      <c r="A527" s="229"/>
      <c r="B527" s="229"/>
      <c r="C527" s="229"/>
      <c r="F527" s="229"/>
      <c r="G527" s="229"/>
    </row>
    <row r="528" spans="1:7" ht="19.5" customHeight="1">
      <c r="A528" s="229"/>
      <c r="B528" s="229"/>
      <c r="C528" s="229"/>
      <c r="F528" s="229"/>
      <c r="G528" s="229"/>
    </row>
    <row r="529" spans="1:7" ht="19.5" customHeight="1">
      <c r="A529" s="229"/>
      <c r="B529" s="229"/>
      <c r="C529" s="229"/>
      <c r="F529" s="229"/>
      <c r="G529" s="229"/>
    </row>
    <row r="530" spans="1:7" ht="19.5" customHeight="1">
      <c r="A530" s="229"/>
      <c r="B530" s="229"/>
      <c r="C530" s="229"/>
      <c r="F530" s="229"/>
      <c r="G530" s="229"/>
    </row>
    <row r="531" spans="1:7" ht="19.5" customHeight="1">
      <c r="A531" s="229"/>
      <c r="B531" s="229"/>
      <c r="C531" s="229"/>
      <c r="F531" s="229"/>
      <c r="G531" s="229"/>
    </row>
    <row r="532" spans="1:7" ht="19.5" customHeight="1">
      <c r="A532" s="229"/>
      <c r="B532" s="229"/>
      <c r="C532" s="229"/>
      <c r="F532" s="229"/>
      <c r="G532" s="229"/>
    </row>
    <row r="533" spans="1:7" ht="19.5" customHeight="1">
      <c r="A533" s="229"/>
      <c r="B533" s="229"/>
      <c r="C533" s="229"/>
      <c r="F533" s="229"/>
      <c r="G533" s="229"/>
    </row>
    <row r="534" spans="1:7" ht="19.5" customHeight="1">
      <c r="A534" s="229"/>
      <c r="B534" s="229"/>
      <c r="C534" s="229"/>
      <c r="F534" s="229"/>
      <c r="G534" s="229"/>
    </row>
    <row r="535" spans="1:7" ht="19.5" customHeight="1">
      <c r="A535" s="229"/>
      <c r="B535" s="229"/>
      <c r="C535" s="229"/>
      <c r="F535" s="229"/>
      <c r="G535" s="229"/>
    </row>
    <row r="536" spans="1:7" ht="19.5" customHeight="1">
      <c r="A536" s="229"/>
      <c r="B536" s="229"/>
      <c r="C536" s="229"/>
      <c r="F536" s="229"/>
      <c r="G536" s="229"/>
    </row>
    <row r="537" spans="1:7" ht="19.5" customHeight="1">
      <c r="A537" s="229"/>
      <c r="B537" s="229"/>
      <c r="C537" s="229"/>
      <c r="F537" s="229"/>
      <c r="G537" s="229"/>
    </row>
    <row r="538" spans="1:7" ht="19.5" customHeight="1">
      <c r="A538" s="229"/>
      <c r="B538" s="229"/>
      <c r="C538" s="229"/>
      <c r="F538" s="229"/>
      <c r="G538" s="229"/>
    </row>
    <row r="539" spans="1:7" ht="19.5" customHeight="1">
      <c r="A539" s="229"/>
      <c r="B539" s="229"/>
      <c r="C539" s="229"/>
      <c r="F539" s="229"/>
      <c r="G539" s="229"/>
    </row>
    <row r="540" spans="1:7" ht="19.5" customHeight="1">
      <c r="A540" s="229"/>
      <c r="B540" s="229"/>
      <c r="C540" s="229"/>
      <c r="F540" s="229"/>
      <c r="G540" s="229"/>
    </row>
    <row r="541" spans="1:7" ht="19.5" customHeight="1">
      <c r="A541" s="229"/>
      <c r="B541" s="229"/>
      <c r="C541" s="229"/>
      <c r="F541" s="229"/>
      <c r="G541" s="229"/>
    </row>
    <row r="542" spans="1:7" ht="19.5" customHeight="1">
      <c r="A542" s="229"/>
      <c r="B542" s="229"/>
      <c r="C542" s="229"/>
      <c r="F542" s="229"/>
      <c r="G542" s="229"/>
    </row>
    <row r="543" spans="1:7" ht="19.5" customHeight="1">
      <c r="A543" s="229"/>
      <c r="B543" s="229"/>
      <c r="C543" s="229"/>
      <c r="F543" s="229"/>
      <c r="G543" s="229"/>
    </row>
    <row r="544" spans="1:7" ht="19.5" customHeight="1">
      <c r="A544" s="229"/>
      <c r="B544" s="229"/>
      <c r="C544" s="229"/>
      <c r="F544" s="229"/>
      <c r="G544" s="229"/>
    </row>
    <row r="545" spans="1:7" ht="19.5" customHeight="1">
      <c r="A545" s="229"/>
      <c r="B545" s="229"/>
      <c r="C545" s="229"/>
      <c r="F545" s="229"/>
      <c r="G545" s="229"/>
    </row>
    <row r="546" spans="1:7" ht="19.5" customHeight="1">
      <c r="A546" s="229"/>
      <c r="B546" s="229"/>
      <c r="C546" s="229"/>
      <c r="F546" s="229"/>
      <c r="G546" s="229"/>
    </row>
    <row r="547" spans="1:7" ht="19.5" customHeight="1">
      <c r="A547" s="229"/>
      <c r="B547" s="229"/>
      <c r="C547" s="229"/>
      <c r="F547" s="229"/>
      <c r="G547" s="229"/>
    </row>
    <row r="548" spans="1:7" ht="19.5" customHeight="1">
      <c r="A548" s="229"/>
      <c r="B548" s="229"/>
      <c r="C548" s="229"/>
      <c r="F548" s="229"/>
      <c r="G548" s="229"/>
    </row>
    <row r="549" spans="1:7" ht="19.5" customHeight="1">
      <c r="A549" s="229"/>
      <c r="B549" s="229"/>
      <c r="C549" s="229"/>
      <c r="F549" s="229"/>
      <c r="G549" s="229"/>
    </row>
    <row r="550" spans="1:7" ht="19.5" customHeight="1">
      <c r="A550" s="229"/>
      <c r="B550" s="229"/>
      <c r="C550" s="229"/>
      <c r="F550" s="229"/>
      <c r="G550" s="229"/>
    </row>
    <row r="551" spans="1:7" ht="19.5" customHeight="1">
      <c r="A551" s="229"/>
      <c r="B551" s="229"/>
      <c r="C551" s="229"/>
      <c r="F551" s="229"/>
      <c r="G551" s="229"/>
    </row>
    <row r="552" spans="1:7" ht="19.5" customHeight="1">
      <c r="A552" s="229"/>
      <c r="B552" s="229"/>
      <c r="C552" s="229"/>
      <c r="F552" s="229"/>
      <c r="G552" s="229"/>
    </row>
    <row r="553" spans="1:7" ht="19.5" customHeight="1">
      <c r="A553" s="229"/>
      <c r="B553" s="229"/>
      <c r="C553" s="229"/>
      <c r="F553" s="229"/>
      <c r="G553" s="229"/>
    </row>
    <row r="554" spans="1:7" ht="19.5" customHeight="1">
      <c r="A554" s="229"/>
      <c r="B554" s="229"/>
      <c r="C554" s="229"/>
      <c r="F554" s="229"/>
      <c r="G554" s="229"/>
    </row>
    <row r="555" spans="1:7" ht="19.5" customHeight="1">
      <c r="A555" s="229"/>
      <c r="B555" s="229"/>
      <c r="C555" s="229"/>
      <c r="F555" s="229"/>
      <c r="G555" s="229"/>
    </row>
    <row r="556" spans="1:7" ht="19.5" customHeight="1">
      <c r="A556" s="229"/>
      <c r="B556" s="229"/>
      <c r="C556" s="229"/>
      <c r="F556" s="229"/>
      <c r="G556" s="229"/>
    </row>
    <row r="557" spans="1:7" ht="19.5" customHeight="1">
      <c r="A557" s="229"/>
      <c r="B557" s="229"/>
      <c r="C557" s="229"/>
      <c r="F557" s="229"/>
      <c r="G557" s="229"/>
    </row>
    <row r="558" spans="1:7" ht="19.5" customHeight="1">
      <c r="A558" s="229"/>
      <c r="B558" s="229"/>
      <c r="C558" s="229"/>
      <c r="F558" s="229"/>
      <c r="G558" s="229"/>
    </row>
    <row r="559" spans="1:7" ht="19.5" customHeight="1">
      <c r="A559" s="229"/>
      <c r="B559" s="229"/>
      <c r="C559" s="229"/>
      <c r="F559" s="229"/>
      <c r="G559" s="229"/>
    </row>
    <row r="560" spans="1:7" ht="19.5" customHeight="1">
      <c r="A560" s="229"/>
      <c r="B560" s="229"/>
      <c r="C560" s="229"/>
      <c r="F560" s="229"/>
      <c r="G560" s="229"/>
    </row>
    <row r="561" spans="1:7" ht="19.5" customHeight="1">
      <c r="A561" s="229"/>
      <c r="B561" s="229"/>
      <c r="C561" s="229"/>
      <c r="F561" s="229"/>
      <c r="G561" s="229"/>
    </row>
    <row r="562" spans="1:7" ht="19.5" customHeight="1">
      <c r="A562" s="229"/>
      <c r="B562" s="229"/>
      <c r="C562" s="229"/>
      <c r="F562" s="229"/>
      <c r="G562" s="229"/>
    </row>
    <row r="563" spans="1:7" ht="19.5" customHeight="1">
      <c r="A563" s="229"/>
      <c r="B563" s="229"/>
      <c r="C563" s="229"/>
      <c r="F563" s="229"/>
      <c r="G563" s="229"/>
    </row>
    <row r="564" spans="1:7" ht="19.5" customHeight="1">
      <c r="A564" s="229"/>
      <c r="B564" s="229"/>
      <c r="C564" s="229"/>
      <c r="F564" s="229"/>
      <c r="G564" s="229"/>
    </row>
    <row r="565" spans="1:7" ht="19.5" customHeight="1">
      <c r="A565" s="229"/>
      <c r="B565" s="229"/>
      <c r="C565" s="229"/>
      <c r="F565" s="229"/>
      <c r="G565" s="229"/>
    </row>
    <row r="566" spans="1:7" ht="19.5" customHeight="1">
      <c r="A566" s="229"/>
      <c r="B566" s="229"/>
      <c r="C566" s="229"/>
      <c r="F566" s="229"/>
      <c r="G566" s="229"/>
    </row>
    <row r="567" spans="1:7" ht="19.5" customHeight="1">
      <c r="A567" s="229"/>
      <c r="B567" s="229"/>
      <c r="C567" s="229"/>
      <c r="F567" s="229"/>
      <c r="G567" s="229"/>
    </row>
    <row r="568" spans="1:7" ht="19.5" customHeight="1">
      <c r="A568" s="229"/>
      <c r="B568" s="229"/>
      <c r="C568" s="229"/>
      <c r="F568" s="229"/>
      <c r="G568" s="229"/>
    </row>
    <row r="569" spans="1:7" ht="19.5" customHeight="1">
      <c r="A569" s="229"/>
      <c r="B569" s="229"/>
      <c r="C569" s="229"/>
      <c r="F569" s="229"/>
      <c r="G569" s="229"/>
    </row>
    <row r="570" spans="1:7" ht="19.5" customHeight="1">
      <c r="A570" s="229"/>
      <c r="B570" s="229"/>
      <c r="C570" s="229"/>
      <c r="F570" s="229"/>
      <c r="G570" s="229"/>
    </row>
    <row r="571" spans="1:7" ht="19.5" customHeight="1">
      <c r="A571" s="229"/>
      <c r="B571" s="229"/>
      <c r="C571" s="229"/>
      <c r="F571" s="229"/>
      <c r="G571" s="229"/>
    </row>
    <row r="572" spans="1:7" ht="19.5" customHeight="1">
      <c r="A572" s="229"/>
      <c r="B572" s="229"/>
      <c r="C572" s="229"/>
      <c r="F572" s="229"/>
      <c r="G572" s="229"/>
    </row>
    <row r="573" spans="1:7" ht="19.5" customHeight="1">
      <c r="A573" s="229"/>
      <c r="B573" s="229"/>
      <c r="C573" s="229"/>
      <c r="F573" s="229"/>
      <c r="G573" s="229"/>
    </row>
    <row r="574" spans="1:7" ht="19.5" customHeight="1">
      <c r="A574" s="229"/>
      <c r="B574" s="229"/>
      <c r="C574" s="229"/>
      <c r="F574" s="229"/>
      <c r="G574" s="229"/>
    </row>
    <row r="575" spans="1:7" ht="19.5" customHeight="1">
      <c r="A575" s="229"/>
      <c r="B575" s="229"/>
      <c r="C575" s="229"/>
      <c r="F575" s="229"/>
      <c r="G575" s="229"/>
    </row>
    <row r="576" spans="1:7" ht="19.5" customHeight="1">
      <c r="A576" s="229"/>
      <c r="B576" s="229"/>
      <c r="C576" s="229"/>
      <c r="F576" s="229"/>
      <c r="G576" s="229"/>
    </row>
    <row r="577" spans="1:7" ht="19.5" customHeight="1">
      <c r="A577" s="229"/>
      <c r="B577" s="229"/>
      <c r="C577" s="229"/>
      <c r="F577" s="229"/>
      <c r="G577" s="229"/>
    </row>
    <row r="578" spans="1:7" ht="19.5" customHeight="1">
      <c r="A578" s="229"/>
      <c r="B578" s="229"/>
      <c r="C578" s="229"/>
      <c r="F578" s="229"/>
      <c r="G578" s="229"/>
    </row>
    <row r="579" spans="1:7" ht="19.5" customHeight="1">
      <c r="A579" s="229"/>
      <c r="B579" s="229"/>
      <c r="C579" s="229"/>
      <c r="F579" s="229"/>
      <c r="G579" s="229"/>
    </row>
    <row r="580" spans="1:7" ht="19.5" customHeight="1">
      <c r="A580" s="229"/>
      <c r="B580" s="229"/>
      <c r="C580" s="229"/>
      <c r="F580" s="229"/>
      <c r="G580" s="229"/>
    </row>
    <row r="581" spans="1:7" ht="19.5" customHeight="1">
      <c r="A581" s="229"/>
      <c r="B581" s="229"/>
      <c r="C581" s="229"/>
      <c r="F581" s="229"/>
      <c r="G581" s="229"/>
    </row>
    <row r="582" spans="1:7" ht="19.5" customHeight="1">
      <c r="A582" s="229"/>
      <c r="B582" s="229"/>
      <c r="C582" s="229"/>
      <c r="F582" s="229"/>
      <c r="G582" s="229"/>
    </row>
    <row r="583" spans="1:7" ht="19.5" customHeight="1">
      <c r="A583" s="229"/>
      <c r="B583" s="229"/>
      <c r="C583" s="229"/>
      <c r="F583" s="229"/>
      <c r="G583" s="229"/>
    </row>
    <row r="584" spans="1:7" ht="19.5" customHeight="1">
      <c r="A584" s="229"/>
      <c r="B584" s="229"/>
      <c r="C584" s="229"/>
      <c r="F584" s="229"/>
      <c r="G584" s="229"/>
    </row>
    <row r="585" spans="1:7" ht="19.5" customHeight="1">
      <c r="A585" s="229"/>
      <c r="B585" s="229"/>
      <c r="C585" s="229"/>
      <c r="F585" s="229"/>
      <c r="G585" s="229"/>
    </row>
    <row r="586" spans="1:7" ht="19.5" customHeight="1">
      <c r="A586" s="229"/>
      <c r="B586" s="229"/>
      <c r="C586" s="229"/>
      <c r="F586" s="229"/>
      <c r="G586" s="229"/>
    </row>
    <row r="587" spans="1:7" ht="19.5" customHeight="1">
      <c r="A587" s="229"/>
      <c r="B587" s="229"/>
      <c r="C587" s="229"/>
      <c r="F587" s="229"/>
      <c r="G587" s="229"/>
    </row>
    <row r="588" spans="1:7" ht="19.5" customHeight="1">
      <c r="A588" s="229"/>
      <c r="B588" s="229"/>
      <c r="C588" s="229"/>
      <c r="F588" s="229"/>
      <c r="G588" s="229"/>
    </row>
    <row r="589" spans="1:7" ht="19.5" customHeight="1">
      <c r="A589" s="229"/>
      <c r="B589" s="229"/>
      <c r="C589" s="229"/>
      <c r="F589" s="229"/>
      <c r="G589" s="229"/>
    </row>
    <row r="590" spans="1:7" ht="19.5" customHeight="1">
      <c r="A590" s="229"/>
      <c r="B590" s="229"/>
      <c r="C590" s="229"/>
      <c r="F590" s="229"/>
      <c r="G590" s="229"/>
    </row>
    <row r="591" spans="1:7" ht="19.5" customHeight="1">
      <c r="A591" s="229"/>
      <c r="B591" s="229"/>
      <c r="C591" s="229"/>
      <c r="F591" s="229"/>
      <c r="G591" s="229"/>
    </row>
    <row r="592" spans="1:7" ht="19.5" customHeight="1">
      <c r="A592" s="229"/>
      <c r="B592" s="229"/>
      <c r="C592" s="229"/>
      <c r="F592" s="229"/>
      <c r="G592" s="229"/>
    </row>
    <row r="593" spans="1:7" ht="19.5" customHeight="1">
      <c r="A593" s="229"/>
      <c r="B593" s="229"/>
      <c r="C593" s="229"/>
      <c r="F593" s="229"/>
      <c r="G593" s="229"/>
    </row>
    <row r="594" spans="1:7" ht="19.5" customHeight="1">
      <c r="A594" s="229"/>
      <c r="B594" s="229"/>
      <c r="C594" s="229"/>
      <c r="F594" s="229"/>
      <c r="G594" s="229"/>
    </row>
    <row r="595" spans="1:7" ht="19.5" customHeight="1">
      <c r="A595" s="229"/>
      <c r="B595" s="229"/>
      <c r="C595" s="229"/>
      <c r="F595" s="229"/>
      <c r="G595" s="229"/>
    </row>
    <row r="596" spans="1:7" ht="19.5" customHeight="1">
      <c r="A596" s="229"/>
      <c r="B596" s="229"/>
      <c r="C596" s="229"/>
      <c r="F596" s="229"/>
      <c r="G596" s="229"/>
    </row>
    <row r="597" spans="1:7" ht="19.5" customHeight="1">
      <c r="A597" s="229"/>
      <c r="B597" s="229"/>
      <c r="C597" s="229"/>
      <c r="F597" s="229"/>
      <c r="G597" s="229"/>
    </row>
    <row r="598" spans="1:7" ht="19.5" customHeight="1">
      <c r="A598" s="229"/>
      <c r="B598" s="229"/>
      <c r="C598" s="229"/>
      <c r="F598" s="229"/>
      <c r="G598" s="229"/>
    </row>
    <row r="599" spans="1:7" ht="19.5" customHeight="1">
      <c r="A599" s="229"/>
      <c r="B599" s="229"/>
      <c r="C599" s="229"/>
      <c r="F599" s="229"/>
      <c r="G599" s="229"/>
    </row>
    <row r="600" spans="1:7" ht="19.5" customHeight="1">
      <c r="A600" s="229"/>
      <c r="B600" s="229"/>
      <c r="C600" s="229"/>
      <c r="F600" s="229"/>
      <c r="G600" s="229"/>
    </row>
    <row r="601" spans="1:7" ht="19.5" customHeight="1">
      <c r="A601" s="229"/>
      <c r="B601" s="229"/>
      <c r="C601" s="229"/>
      <c r="F601" s="229"/>
      <c r="G601" s="229"/>
    </row>
    <row r="602" spans="1:7" ht="19.5" customHeight="1">
      <c r="A602" s="229"/>
      <c r="B602" s="229"/>
      <c r="C602" s="229"/>
      <c r="F602" s="229"/>
      <c r="G602" s="229"/>
    </row>
    <row r="603" spans="1:7" ht="19.5" customHeight="1">
      <c r="A603" s="229"/>
      <c r="B603" s="229"/>
      <c r="C603" s="229"/>
      <c r="F603" s="229"/>
      <c r="G603" s="229"/>
    </row>
    <row r="604" spans="1:7" ht="19.5" customHeight="1">
      <c r="A604" s="229"/>
      <c r="B604" s="229"/>
      <c r="C604" s="229"/>
      <c r="F604" s="229"/>
      <c r="G604" s="229"/>
    </row>
    <row r="605" spans="1:7" ht="19.5" customHeight="1">
      <c r="A605" s="229"/>
      <c r="B605" s="229"/>
      <c r="C605" s="229"/>
      <c r="F605" s="229"/>
      <c r="G605" s="229"/>
    </row>
    <row r="606" spans="1:7" ht="19.5" customHeight="1">
      <c r="A606" s="229"/>
      <c r="B606" s="229"/>
      <c r="C606" s="229"/>
      <c r="F606" s="229"/>
      <c r="G606" s="229"/>
    </row>
    <row r="607" spans="1:7" ht="19.5" customHeight="1">
      <c r="A607" s="229"/>
      <c r="B607" s="229"/>
      <c r="C607" s="229"/>
      <c r="F607" s="229"/>
      <c r="G607" s="229"/>
    </row>
    <row r="608" spans="1:7" ht="19.5" customHeight="1">
      <c r="A608" s="229"/>
      <c r="B608" s="229"/>
      <c r="C608" s="229"/>
      <c r="F608" s="229"/>
      <c r="G608" s="229"/>
    </row>
    <row r="609" spans="1:7" ht="19.5" customHeight="1">
      <c r="A609" s="229"/>
      <c r="B609" s="229"/>
      <c r="C609" s="229"/>
      <c r="F609" s="229"/>
      <c r="G609" s="229"/>
    </row>
    <row r="610" spans="1:7" ht="19.5" customHeight="1">
      <c r="A610" s="229"/>
      <c r="B610" s="229"/>
      <c r="C610" s="229"/>
      <c r="F610" s="229"/>
      <c r="G610" s="229"/>
    </row>
    <row r="611" spans="1:7" ht="19.5" customHeight="1">
      <c r="A611" s="229"/>
      <c r="B611" s="229"/>
      <c r="C611" s="229"/>
      <c r="F611" s="229"/>
      <c r="G611" s="229"/>
    </row>
    <row r="612" spans="1:7" ht="19.5" customHeight="1">
      <c r="A612" s="229"/>
      <c r="B612" s="229"/>
      <c r="C612" s="229"/>
      <c r="F612" s="229"/>
      <c r="G612" s="229"/>
    </row>
    <row r="613" spans="1:7" ht="19.5" customHeight="1">
      <c r="A613" s="229"/>
      <c r="B613" s="229"/>
      <c r="C613" s="229"/>
      <c r="F613" s="229"/>
      <c r="G613" s="229"/>
    </row>
    <row r="614" spans="1:7" ht="19.5" customHeight="1">
      <c r="A614" s="229"/>
      <c r="B614" s="229"/>
      <c r="C614" s="229"/>
      <c r="F614" s="229"/>
      <c r="G614" s="229"/>
    </row>
    <row r="615" spans="1:7" ht="19.5" customHeight="1">
      <c r="A615" s="229"/>
      <c r="B615" s="229"/>
      <c r="C615" s="229"/>
      <c r="F615" s="229"/>
      <c r="G615" s="229"/>
    </row>
    <row r="616" spans="1:7" ht="19.5" customHeight="1">
      <c r="A616" s="229"/>
      <c r="B616" s="229"/>
      <c r="C616" s="229"/>
      <c r="F616" s="229"/>
      <c r="G616" s="229"/>
    </row>
    <row r="617" spans="1:7" ht="19.5" customHeight="1">
      <c r="A617" s="229"/>
      <c r="B617" s="229"/>
      <c r="C617" s="229"/>
      <c r="F617" s="229"/>
      <c r="G617" s="229"/>
    </row>
    <row r="618" spans="1:7" ht="19.5" customHeight="1">
      <c r="A618" s="229"/>
      <c r="B618" s="229"/>
      <c r="C618" s="229"/>
      <c r="F618" s="229"/>
      <c r="G618" s="229"/>
    </row>
    <row r="619" spans="1:7" ht="19.5" customHeight="1">
      <c r="A619" s="229"/>
      <c r="B619" s="229"/>
      <c r="C619" s="229"/>
      <c r="F619" s="229"/>
      <c r="G619" s="229"/>
    </row>
    <row r="620" spans="1:7" ht="19.5" customHeight="1">
      <c r="A620" s="229"/>
      <c r="B620" s="229"/>
      <c r="C620" s="229"/>
      <c r="F620" s="229"/>
      <c r="G620" s="229"/>
    </row>
    <row r="621" spans="1:7" ht="19.5" customHeight="1">
      <c r="A621" s="229"/>
      <c r="B621" s="229"/>
      <c r="C621" s="229"/>
      <c r="F621" s="229"/>
      <c r="G621" s="229"/>
    </row>
    <row r="622" spans="1:7" ht="19.5" customHeight="1">
      <c r="A622" s="229"/>
      <c r="B622" s="229"/>
      <c r="C622" s="229"/>
      <c r="F622" s="229"/>
      <c r="G622" s="229"/>
    </row>
    <row r="623" spans="1:7" ht="19.5" customHeight="1">
      <c r="A623" s="229"/>
      <c r="B623" s="229"/>
      <c r="C623" s="229"/>
      <c r="F623" s="229"/>
      <c r="G623" s="229"/>
    </row>
    <row r="624" spans="1:7" ht="19.5" customHeight="1">
      <c r="A624" s="229"/>
      <c r="B624" s="229"/>
      <c r="C624" s="229"/>
      <c r="F624" s="229"/>
      <c r="G624" s="229"/>
    </row>
    <row r="625" spans="1:7" ht="19.5" customHeight="1">
      <c r="A625" s="229"/>
      <c r="B625" s="229"/>
      <c r="C625" s="229"/>
      <c r="F625" s="229"/>
      <c r="G625" s="229"/>
    </row>
    <row r="626" spans="1:7" ht="19.5" customHeight="1">
      <c r="A626" s="229"/>
      <c r="B626" s="229"/>
      <c r="C626" s="229"/>
      <c r="F626" s="229"/>
      <c r="G626" s="229"/>
    </row>
    <row r="627" spans="1:7" ht="19.5" customHeight="1">
      <c r="A627" s="229"/>
      <c r="B627" s="229"/>
      <c r="C627" s="229"/>
      <c r="F627" s="229"/>
      <c r="G627" s="229"/>
    </row>
    <row r="628" spans="1:7" ht="19.5" customHeight="1">
      <c r="A628" s="229"/>
      <c r="B628" s="229"/>
      <c r="C628" s="229"/>
      <c r="F628" s="229"/>
      <c r="G628" s="229"/>
    </row>
    <row r="629" spans="1:7" ht="19.5" customHeight="1">
      <c r="A629" s="229"/>
      <c r="B629" s="229"/>
      <c r="C629" s="229"/>
      <c r="F629" s="229"/>
      <c r="G629" s="229"/>
    </row>
    <row r="630" spans="1:7" ht="19.5" customHeight="1">
      <c r="A630" s="229"/>
      <c r="B630" s="229"/>
      <c r="C630" s="229"/>
      <c r="F630" s="229"/>
      <c r="G630" s="229"/>
    </row>
    <row r="631" spans="1:7" ht="19.5" customHeight="1">
      <c r="A631" s="229"/>
      <c r="B631" s="229"/>
      <c r="C631" s="229"/>
      <c r="F631" s="229"/>
      <c r="G631" s="229"/>
    </row>
    <row r="632" spans="1:7" ht="19.5" customHeight="1">
      <c r="A632" s="229"/>
      <c r="B632" s="229"/>
      <c r="C632" s="229"/>
      <c r="F632" s="229"/>
      <c r="G632" s="229"/>
    </row>
    <row r="633" spans="1:7" ht="19.5" customHeight="1">
      <c r="A633" s="229"/>
      <c r="B633" s="229"/>
      <c r="C633" s="229"/>
      <c r="F633" s="229"/>
      <c r="G633" s="229"/>
    </row>
    <row r="634" spans="1:7" ht="19.5" customHeight="1">
      <c r="A634" s="229"/>
      <c r="B634" s="229"/>
      <c r="C634" s="229"/>
      <c r="F634" s="229"/>
      <c r="G634" s="229"/>
    </row>
    <row r="635" spans="1:7" ht="19.5" customHeight="1">
      <c r="A635" s="229"/>
      <c r="B635" s="229"/>
      <c r="C635" s="229"/>
      <c r="F635" s="229"/>
      <c r="G635" s="229"/>
    </row>
    <row r="636" spans="1:7" ht="19.5" customHeight="1">
      <c r="A636" s="229"/>
      <c r="B636" s="229"/>
      <c r="C636" s="229"/>
      <c r="F636" s="229"/>
      <c r="G636" s="229"/>
    </row>
    <row r="637" spans="1:7" ht="19.5" customHeight="1">
      <c r="A637" s="229"/>
      <c r="B637" s="229"/>
      <c r="C637" s="229"/>
      <c r="F637" s="229"/>
      <c r="G637" s="229"/>
    </row>
    <row r="638" spans="1:7" ht="19.5" customHeight="1">
      <c r="A638" s="229"/>
      <c r="B638" s="229"/>
      <c r="C638" s="229"/>
      <c r="F638" s="229"/>
      <c r="G638" s="229"/>
    </row>
    <row r="639" spans="1:7" ht="19.5" customHeight="1">
      <c r="A639" s="229"/>
      <c r="B639" s="229"/>
      <c r="C639" s="229"/>
      <c r="F639" s="229"/>
      <c r="G639" s="229"/>
    </row>
    <row r="640" spans="1:7" ht="19.5" customHeight="1">
      <c r="A640" s="229"/>
      <c r="B640" s="229"/>
      <c r="C640" s="229"/>
      <c r="F640" s="229"/>
      <c r="G640" s="229"/>
    </row>
    <row r="641" spans="1:7" ht="19.5" customHeight="1">
      <c r="A641" s="229"/>
      <c r="B641" s="229"/>
      <c r="C641" s="229"/>
      <c r="F641" s="229"/>
      <c r="G641" s="229"/>
    </row>
    <row r="642" spans="1:7" ht="19.5" customHeight="1">
      <c r="A642" s="229"/>
      <c r="B642" s="229"/>
      <c r="C642" s="229"/>
      <c r="F642" s="229"/>
      <c r="G642" s="229"/>
    </row>
    <row r="643" spans="1:7" ht="19.5" customHeight="1">
      <c r="A643" s="229"/>
      <c r="B643" s="229"/>
      <c r="C643" s="229"/>
      <c r="F643" s="229"/>
      <c r="G643" s="229"/>
    </row>
    <row r="644" spans="1:7" ht="19.5" customHeight="1">
      <c r="A644" s="229"/>
      <c r="B644" s="229"/>
      <c r="C644" s="229"/>
      <c r="F644" s="229"/>
      <c r="G644" s="229"/>
    </row>
    <row r="645" spans="1:7" ht="19.5" customHeight="1">
      <c r="A645" s="229"/>
      <c r="B645" s="229"/>
      <c r="C645" s="229"/>
      <c r="F645" s="229"/>
      <c r="G645" s="229"/>
    </row>
    <row r="646" spans="1:7" ht="19.5" customHeight="1">
      <c r="A646" s="229"/>
      <c r="B646" s="229"/>
      <c r="C646" s="229"/>
      <c r="F646" s="229"/>
      <c r="G646" s="229"/>
    </row>
    <row r="647" spans="1:7" ht="19.5" customHeight="1">
      <c r="A647" s="229"/>
      <c r="B647" s="229"/>
      <c r="C647" s="229"/>
      <c r="F647" s="229"/>
      <c r="G647" s="229"/>
    </row>
    <row r="648" spans="1:7" ht="19.5" customHeight="1">
      <c r="A648" s="229"/>
      <c r="B648" s="229"/>
      <c r="C648" s="229"/>
      <c r="F648" s="229"/>
      <c r="G648" s="229"/>
    </row>
    <row r="649" spans="1:7" ht="19.5" customHeight="1">
      <c r="A649" s="229"/>
      <c r="B649" s="229"/>
      <c r="C649" s="229"/>
      <c r="F649" s="229"/>
      <c r="G649" s="229"/>
    </row>
    <row r="650" spans="1:7" ht="19.5" customHeight="1">
      <c r="A650" s="229"/>
      <c r="B650" s="229"/>
      <c r="C650" s="229"/>
      <c r="F650" s="229"/>
      <c r="G650" s="229"/>
    </row>
    <row r="651" spans="1:7" ht="19.5" customHeight="1">
      <c r="A651" s="229"/>
      <c r="B651" s="229"/>
      <c r="C651" s="229"/>
      <c r="F651" s="229"/>
      <c r="G651" s="229"/>
    </row>
    <row r="652" spans="1:7" ht="19.5" customHeight="1">
      <c r="A652" s="229"/>
      <c r="B652" s="229"/>
      <c r="C652" s="229"/>
      <c r="F652" s="229"/>
      <c r="G652" s="229"/>
    </row>
    <row r="653" spans="1:7" ht="19.5" customHeight="1">
      <c r="A653" s="229"/>
      <c r="B653" s="229"/>
      <c r="C653" s="229"/>
      <c r="F653" s="229"/>
      <c r="G653" s="229"/>
    </row>
    <row r="654" spans="1:7" ht="19.5" customHeight="1">
      <c r="A654" s="229"/>
      <c r="B654" s="229"/>
      <c r="C654" s="229"/>
      <c r="F654" s="229"/>
      <c r="G654" s="229"/>
    </row>
    <row r="655" spans="1:7" ht="19.5" customHeight="1">
      <c r="A655" s="229"/>
      <c r="B655" s="229"/>
      <c r="C655" s="229"/>
      <c r="F655" s="229"/>
      <c r="G655" s="229"/>
    </row>
    <row r="656" spans="1:7" ht="19.5" customHeight="1">
      <c r="A656" s="229"/>
      <c r="B656" s="229"/>
      <c r="C656" s="229"/>
      <c r="F656" s="229"/>
      <c r="G656" s="229"/>
    </row>
    <row r="657" spans="1:7" ht="19.5" customHeight="1">
      <c r="A657" s="229"/>
      <c r="B657" s="229"/>
      <c r="C657" s="229"/>
      <c r="F657" s="229"/>
      <c r="G657" s="229"/>
    </row>
    <row r="658" spans="1:7" ht="19.5" customHeight="1">
      <c r="A658" s="229"/>
      <c r="B658" s="229"/>
      <c r="C658" s="229"/>
      <c r="F658" s="229"/>
      <c r="G658" s="229"/>
    </row>
    <row r="659" spans="1:7" ht="19.5" customHeight="1">
      <c r="A659" s="229"/>
      <c r="B659" s="229"/>
      <c r="C659" s="229"/>
      <c r="F659" s="229"/>
      <c r="G659" s="229"/>
    </row>
    <row r="660" spans="1:7" ht="19.5" customHeight="1">
      <c r="A660" s="229"/>
      <c r="B660" s="229"/>
      <c r="C660" s="229"/>
      <c r="F660" s="229"/>
      <c r="G660" s="229"/>
    </row>
    <row r="661" spans="1:7" ht="19.5" customHeight="1">
      <c r="A661" s="229"/>
      <c r="B661" s="229"/>
      <c r="C661" s="229"/>
      <c r="F661" s="229"/>
      <c r="G661" s="229"/>
    </row>
    <row r="662" spans="1:7" ht="19.5" customHeight="1">
      <c r="A662" s="229"/>
      <c r="B662" s="229"/>
      <c r="C662" s="229"/>
      <c r="F662" s="229"/>
      <c r="G662" s="229"/>
    </row>
    <row r="663" spans="1:7" ht="19.5" customHeight="1">
      <c r="A663" s="229"/>
      <c r="B663" s="229"/>
      <c r="C663" s="229"/>
      <c r="F663" s="229"/>
      <c r="G663" s="229"/>
    </row>
    <row r="664" spans="1:7" ht="19.5" customHeight="1">
      <c r="A664" s="229"/>
      <c r="B664" s="229"/>
      <c r="C664" s="229"/>
      <c r="F664" s="229"/>
      <c r="G664" s="229"/>
    </row>
    <row r="665" spans="1:7" ht="19.5" customHeight="1">
      <c r="A665" s="229"/>
      <c r="B665" s="229"/>
      <c r="C665" s="229"/>
      <c r="F665" s="229"/>
      <c r="G665" s="229"/>
    </row>
    <row r="666" spans="1:7" ht="19.5" customHeight="1">
      <c r="A666" s="229"/>
      <c r="B666" s="229"/>
      <c r="C666" s="229"/>
      <c r="F666" s="229"/>
      <c r="G666" s="229"/>
    </row>
    <row r="667" spans="1:7" ht="19.5" customHeight="1">
      <c r="A667" s="229"/>
      <c r="B667" s="229"/>
      <c r="C667" s="229"/>
      <c r="F667" s="229"/>
      <c r="G667" s="229"/>
    </row>
    <row r="668" spans="1:7" ht="19.5" customHeight="1">
      <c r="A668" s="229"/>
      <c r="B668" s="229"/>
      <c r="C668" s="229"/>
      <c r="F668" s="229"/>
      <c r="G668" s="229"/>
    </row>
    <row r="669" spans="1:7" ht="19.5" customHeight="1">
      <c r="A669" s="229"/>
      <c r="B669" s="229"/>
      <c r="C669" s="229"/>
      <c r="F669" s="229"/>
      <c r="G669" s="229"/>
    </row>
    <row r="670" spans="1:7" ht="19.5" customHeight="1">
      <c r="A670" s="229"/>
      <c r="B670" s="229"/>
      <c r="C670" s="229"/>
      <c r="F670" s="229"/>
      <c r="G670" s="229"/>
    </row>
    <row r="671" spans="1:7" ht="19.5" customHeight="1">
      <c r="A671" s="229"/>
      <c r="B671" s="229"/>
      <c r="C671" s="229"/>
      <c r="F671" s="229"/>
      <c r="G671" s="229"/>
    </row>
    <row r="672" spans="1:7" ht="19.5" customHeight="1">
      <c r="A672" s="229"/>
      <c r="B672" s="229"/>
      <c r="C672" s="229"/>
      <c r="F672" s="229"/>
      <c r="G672" s="229"/>
    </row>
    <row r="673" spans="1:7" ht="19.5" customHeight="1">
      <c r="A673" s="229"/>
      <c r="B673" s="229"/>
      <c r="C673" s="229"/>
      <c r="F673" s="229"/>
      <c r="G673" s="229"/>
    </row>
    <row r="674" spans="1:7" ht="19.5" customHeight="1">
      <c r="A674" s="229"/>
      <c r="B674" s="229"/>
      <c r="C674" s="229"/>
      <c r="F674" s="229"/>
      <c r="G674" s="229"/>
    </row>
    <row r="675" spans="1:7" ht="19.5" customHeight="1">
      <c r="A675" s="229"/>
      <c r="B675" s="229"/>
      <c r="C675" s="229"/>
      <c r="F675" s="229"/>
      <c r="G675" s="229"/>
    </row>
    <row r="676" spans="1:7" ht="19.5" customHeight="1">
      <c r="A676" s="229"/>
      <c r="B676" s="229"/>
      <c r="C676" s="229"/>
      <c r="F676" s="229"/>
      <c r="G676" s="229"/>
    </row>
    <row r="677" spans="1:7" ht="19.5" customHeight="1">
      <c r="A677" s="229"/>
      <c r="B677" s="229"/>
      <c r="C677" s="229"/>
      <c r="F677" s="229"/>
      <c r="G677" s="229"/>
    </row>
    <row r="678" spans="1:7" ht="19.5" customHeight="1">
      <c r="A678" s="229"/>
      <c r="B678" s="229"/>
      <c r="C678" s="229"/>
      <c r="F678" s="229"/>
      <c r="G678" s="229"/>
    </row>
    <row r="679" spans="1:7" ht="19.5" customHeight="1">
      <c r="A679" s="229"/>
      <c r="B679" s="229"/>
      <c r="C679" s="229"/>
      <c r="F679" s="229"/>
      <c r="G679" s="229"/>
    </row>
    <row r="680" spans="1:7" ht="19.5" customHeight="1">
      <c r="A680" s="229"/>
      <c r="B680" s="229"/>
      <c r="C680" s="229"/>
      <c r="F680" s="229"/>
      <c r="G680" s="229"/>
    </row>
    <row r="681" spans="1:7" ht="19.5" customHeight="1">
      <c r="A681" s="229"/>
      <c r="B681" s="229"/>
      <c r="C681" s="229"/>
      <c r="F681" s="229"/>
      <c r="G681" s="229"/>
    </row>
    <row r="682" spans="1:7" ht="19.5" customHeight="1">
      <c r="A682" s="229"/>
      <c r="B682" s="229"/>
      <c r="C682" s="229"/>
      <c r="F682" s="229"/>
      <c r="G682" s="229"/>
    </row>
    <row r="683" spans="1:7" ht="19.5" customHeight="1">
      <c r="A683" s="229"/>
      <c r="B683" s="229"/>
      <c r="C683" s="229"/>
      <c r="F683" s="229"/>
      <c r="G683" s="229"/>
    </row>
    <row r="684" spans="1:7" ht="19.5" customHeight="1">
      <c r="A684" s="229"/>
      <c r="B684" s="229"/>
      <c r="C684" s="229"/>
      <c r="F684" s="229"/>
      <c r="G684" s="229"/>
    </row>
    <row r="685" spans="1:7" ht="19.5" customHeight="1">
      <c r="A685" s="229"/>
      <c r="B685" s="229"/>
      <c r="C685" s="229"/>
      <c r="F685" s="229"/>
      <c r="G685" s="229"/>
    </row>
    <row r="686" spans="1:7" ht="19.5" customHeight="1">
      <c r="A686" s="229"/>
      <c r="B686" s="229"/>
      <c r="C686" s="229"/>
      <c r="F686" s="229"/>
      <c r="G686" s="229"/>
    </row>
    <row r="687" spans="1:7" ht="19.5" customHeight="1">
      <c r="A687" s="229"/>
      <c r="B687" s="229"/>
      <c r="C687" s="229"/>
      <c r="F687" s="229"/>
      <c r="G687" s="229"/>
    </row>
    <row r="688" spans="1:7" ht="19.5" customHeight="1">
      <c r="A688" s="229"/>
      <c r="B688" s="229"/>
      <c r="C688" s="229"/>
      <c r="F688" s="229"/>
      <c r="G688" s="229"/>
    </row>
    <row r="689" spans="1:7" ht="19.5" customHeight="1">
      <c r="A689" s="229"/>
      <c r="B689" s="229"/>
      <c r="C689" s="229"/>
      <c r="F689" s="229"/>
      <c r="G689" s="229"/>
    </row>
    <row r="690" spans="1:7" ht="19.5" customHeight="1">
      <c r="A690" s="229"/>
      <c r="B690" s="229"/>
      <c r="C690" s="229"/>
      <c r="F690" s="229"/>
      <c r="G690" s="229"/>
    </row>
    <row r="691" spans="1:7" ht="19.5" customHeight="1">
      <c r="A691" s="229"/>
      <c r="B691" s="229"/>
      <c r="C691" s="229"/>
      <c r="F691" s="229"/>
      <c r="G691" s="229"/>
    </row>
    <row r="692" spans="1:7" ht="19.5" customHeight="1">
      <c r="A692" s="229"/>
      <c r="B692" s="229"/>
      <c r="C692" s="229"/>
      <c r="F692" s="229"/>
      <c r="G692" s="229"/>
    </row>
    <row r="693" spans="1:7" ht="19.5" customHeight="1">
      <c r="A693" s="229"/>
      <c r="B693" s="229"/>
      <c r="C693" s="229"/>
      <c r="F693" s="229"/>
      <c r="G693" s="229"/>
    </row>
    <row r="694" spans="1:7" ht="19.5" customHeight="1">
      <c r="A694" s="229"/>
      <c r="B694" s="229"/>
      <c r="C694" s="229"/>
      <c r="F694" s="229"/>
      <c r="G694" s="229"/>
    </row>
    <row r="695" spans="1:7" ht="19.5" customHeight="1">
      <c r="A695" s="229"/>
      <c r="B695" s="229"/>
      <c r="C695" s="229"/>
      <c r="F695" s="229"/>
      <c r="G695" s="229"/>
    </row>
    <row r="696" spans="1:7" ht="19.5" customHeight="1">
      <c r="A696" s="229"/>
      <c r="B696" s="229"/>
      <c r="C696" s="229"/>
      <c r="F696" s="229"/>
      <c r="G696" s="229"/>
    </row>
    <row r="697" spans="1:7" ht="19.5" customHeight="1">
      <c r="A697" s="229"/>
      <c r="B697" s="229"/>
      <c r="C697" s="229"/>
      <c r="F697" s="229"/>
      <c r="G697" s="229"/>
    </row>
    <row r="698" spans="1:7" ht="19.5" customHeight="1">
      <c r="A698" s="229"/>
      <c r="B698" s="229"/>
      <c r="C698" s="229"/>
      <c r="F698" s="229"/>
      <c r="G698" s="229"/>
    </row>
    <row r="699" spans="1:7" ht="19.5" customHeight="1">
      <c r="A699" s="229"/>
      <c r="B699" s="229"/>
      <c r="C699" s="229"/>
      <c r="F699" s="229"/>
      <c r="G699" s="229"/>
    </row>
    <row r="700" spans="1:7" ht="19.5" customHeight="1">
      <c r="A700" s="229"/>
      <c r="B700" s="229"/>
      <c r="C700" s="229"/>
      <c r="F700" s="229"/>
      <c r="G700" s="229"/>
    </row>
    <row r="701" spans="1:7" ht="19.5" customHeight="1">
      <c r="A701" s="229"/>
      <c r="B701" s="229"/>
      <c r="C701" s="229"/>
      <c r="F701" s="229"/>
      <c r="G701" s="229"/>
    </row>
    <row r="702" spans="1:7" ht="19.5" customHeight="1">
      <c r="A702" s="229"/>
      <c r="B702" s="229"/>
      <c r="C702" s="229"/>
      <c r="F702" s="229"/>
      <c r="G702" s="229"/>
    </row>
    <row r="703" spans="1:7" ht="19.5" customHeight="1">
      <c r="A703" s="229"/>
      <c r="B703" s="229"/>
      <c r="C703" s="229"/>
      <c r="F703" s="229"/>
      <c r="G703" s="229"/>
    </row>
    <row r="704" spans="1:7" ht="19.5" customHeight="1">
      <c r="A704" s="229"/>
      <c r="B704" s="229"/>
      <c r="C704" s="229"/>
      <c r="F704" s="229"/>
      <c r="G704" s="229"/>
    </row>
    <row r="705" spans="1:7" ht="19.5" customHeight="1">
      <c r="A705" s="229"/>
      <c r="B705" s="229"/>
      <c r="C705" s="229"/>
      <c r="F705" s="229"/>
      <c r="G705" s="229"/>
    </row>
    <row r="706" spans="1:7" ht="19.5" customHeight="1">
      <c r="A706" s="229"/>
      <c r="B706" s="229"/>
      <c r="C706" s="229"/>
      <c r="F706" s="229"/>
      <c r="G706" s="229"/>
    </row>
    <row r="707" spans="1:7" ht="19.5" customHeight="1">
      <c r="A707" s="229"/>
      <c r="B707" s="229"/>
      <c r="C707" s="229"/>
      <c r="F707" s="229"/>
      <c r="G707" s="229"/>
    </row>
    <row r="708" spans="1:7" ht="19.5" customHeight="1">
      <c r="A708" s="229"/>
      <c r="B708" s="229"/>
      <c r="C708" s="229"/>
      <c r="F708" s="229"/>
      <c r="G708" s="229"/>
    </row>
    <row r="709" spans="1:7" ht="19.5" customHeight="1">
      <c r="A709" s="229"/>
      <c r="B709" s="229"/>
      <c r="C709" s="229"/>
      <c r="F709" s="229"/>
      <c r="G709" s="229"/>
    </row>
    <row r="710" spans="1:7" ht="19.5" customHeight="1">
      <c r="A710" s="229"/>
      <c r="B710" s="229"/>
      <c r="C710" s="229"/>
      <c r="F710" s="229"/>
      <c r="G710" s="229"/>
    </row>
    <row r="711" spans="1:7" ht="19.5" customHeight="1">
      <c r="A711" s="229"/>
      <c r="B711" s="229"/>
      <c r="C711" s="229"/>
      <c r="F711" s="229"/>
      <c r="G711" s="229"/>
    </row>
    <row r="712" spans="1:7" ht="19.5" customHeight="1">
      <c r="A712" s="229"/>
      <c r="B712" s="229"/>
      <c r="C712" s="229"/>
      <c r="F712" s="229"/>
      <c r="G712" s="229"/>
    </row>
    <row r="713" spans="1:7" ht="19.5" customHeight="1">
      <c r="A713" s="229"/>
      <c r="B713" s="229"/>
      <c r="C713" s="229"/>
      <c r="F713" s="229"/>
      <c r="G713" s="229"/>
    </row>
    <row r="714" spans="1:7" ht="19.5" customHeight="1">
      <c r="A714" s="229"/>
      <c r="B714" s="229"/>
      <c r="C714" s="229"/>
      <c r="F714" s="229"/>
      <c r="G714" s="229"/>
    </row>
    <row r="715" spans="1:7" ht="19.5" customHeight="1">
      <c r="A715" s="229"/>
      <c r="B715" s="229"/>
      <c r="C715" s="229"/>
      <c r="F715" s="229"/>
      <c r="G715" s="229"/>
    </row>
    <row r="716" spans="1:7" ht="19.5" customHeight="1">
      <c r="A716" s="229"/>
      <c r="B716" s="229"/>
      <c r="C716" s="229"/>
      <c r="F716" s="229"/>
      <c r="G716" s="229"/>
    </row>
    <row r="717" spans="1:7" ht="19.5" customHeight="1">
      <c r="A717" s="229"/>
      <c r="B717" s="229"/>
      <c r="C717" s="229"/>
      <c r="F717" s="229"/>
      <c r="G717" s="229"/>
    </row>
    <row r="718" spans="1:7" ht="19.5" customHeight="1">
      <c r="A718" s="229"/>
      <c r="B718" s="229"/>
      <c r="C718" s="229"/>
      <c r="F718" s="229"/>
      <c r="G718" s="229"/>
    </row>
    <row r="719" spans="1:7" ht="19.5" customHeight="1">
      <c r="A719" s="229"/>
      <c r="B719" s="229"/>
      <c r="C719" s="229"/>
      <c r="F719" s="229"/>
      <c r="G719" s="229"/>
    </row>
    <row r="720" spans="1:7" ht="19.5" customHeight="1">
      <c r="A720" s="229"/>
      <c r="B720" s="229"/>
      <c r="C720" s="229"/>
      <c r="F720" s="229"/>
      <c r="G720" s="229"/>
    </row>
    <row r="721" spans="1:7" ht="19.5" customHeight="1">
      <c r="A721" s="229"/>
      <c r="B721" s="229"/>
      <c r="C721" s="229"/>
      <c r="F721" s="229"/>
      <c r="G721" s="229"/>
    </row>
    <row r="722" spans="1:7" ht="19.5" customHeight="1">
      <c r="A722" s="229"/>
      <c r="B722" s="229"/>
      <c r="C722" s="229"/>
      <c r="F722" s="229"/>
      <c r="G722" s="229"/>
    </row>
    <row r="723" spans="1:7" ht="19.5" customHeight="1">
      <c r="A723" s="229"/>
      <c r="B723" s="229"/>
      <c r="C723" s="229"/>
      <c r="F723" s="229"/>
      <c r="G723" s="229"/>
    </row>
    <row r="724" spans="1:7" ht="19.5" customHeight="1">
      <c r="A724" s="229"/>
      <c r="B724" s="229"/>
      <c r="C724" s="229"/>
      <c r="F724" s="229"/>
      <c r="G724" s="229"/>
    </row>
    <row r="725" spans="1:7" ht="19.5" customHeight="1">
      <c r="A725" s="229"/>
      <c r="B725" s="229"/>
      <c r="C725" s="229"/>
      <c r="F725" s="229"/>
      <c r="G725" s="229"/>
    </row>
    <row r="726" spans="1:7" ht="19.5" customHeight="1">
      <c r="A726" s="229"/>
      <c r="B726" s="229"/>
      <c r="C726" s="229"/>
      <c r="F726" s="229"/>
      <c r="G726" s="229"/>
    </row>
    <row r="727" spans="1:7" ht="19.5" customHeight="1">
      <c r="A727" s="229"/>
      <c r="B727" s="229"/>
      <c r="C727" s="229"/>
      <c r="F727" s="229"/>
      <c r="G727" s="229"/>
    </row>
    <row r="728" spans="1:7" ht="19.5" customHeight="1">
      <c r="A728" s="229"/>
      <c r="B728" s="229"/>
      <c r="C728" s="229"/>
      <c r="F728" s="229"/>
      <c r="G728" s="229"/>
    </row>
    <row r="729" spans="1:7" ht="19.5" customHeight="1">
      <c r="A729" s="229"/>
      <c r="B729" s="229"/>
      <c r="C729" s="229"/>
      <c r="F729" s="229"/>
      <c r="G729" s="229"/>
    </row>
    <row r="730" spans="1:7" ht="19.5" customHeight="1">
      <c r="A730" s="229"/>
      <c r="B730" s="229"/>
      <c r="C730" s="229"/>
      <c r="F730" s="229"/>
      <c r="G730" s="229"/>
    </row>
    <row r="731" spans="1:7" ht="19.5" customHeight="1">
      <c r="A731" s="229"/>
      <c r="B731" s="229"/>
      <c r="C731" s="229"/>
      <c r="F731" s="229"/>
      <c r="G731" s="229"/>
    </row>
    <row r="732" spans="1:7" ht="19.5" customHeight="1">
      <c r="A732" s="229"/>
      <c r="B732" s="229"/>
      <c r="C732" s="229"/>
      <c r="F732" s="229"/>
      <c r="G732" s="229"/>
    </row>
    <row r="733" spans="1:7" ht="19.5" customHeight="1">
      <c r="A733" s="229"/>
      <c r="B733" s="229"/>
      <c r="C733" s="229"/>
      <c r="F733" s="229"/>
      <c r="G733" s="229"/>
    </row>
    <row r="734" spans="1:7" ht="19.5" customHeight="1">
      <c r="A734" s="229"/>
      <c r="B734" s="229"/>
      <c r="C734" s="229"/>
      <c r="F734" s="229"/>
      <c r="G734" s="229"/>
    </row>
    <row r="735" spans="1:7" ht="19.5" customHeight="1">
      <c r="A735" s="229"/>
      <c r="B735" s="229"/>
      <c r="C735" s="229"/>
      <c r="F735" s="229"/>
      <c r="G735" s="229"/>
    </row>
    <row r="736" spans="1:7" ht="19.5" customHeight="1">
      <c r="A736" s="229"/>
      <c r="B736" s="229"/>
      <c r="C736" s="229"/>
      <c r="F736" s="229"/>
      <c r="G736" s="229"/>
    </row>
    <row r="737" spans="1:7" ht="19.5" customHeight="1">
      <c r="A737" s="229"/>
      <c r="B737" s="229"/>
      <c r="C737" s="229"/>
      <c r="F737" s="229"/>
      <c r="G737" s="229"/>
    </row>
    <row r="738" spans="1:7" ht="19.5" customHeight="1">
      <c r="A738" s="229"/>
      <c r="B738" s="229"/>
      <c r="C738" s="229"/>
      <c r="F738" s="229"/>
      <c r="G738" s="229"/>
    </row>
    <row r="739" spans="1:7" ht="19.5" customHeight="1">
      <c r="A739" s="229"/>
      <c r="B739" s="229"/>
      <c r="C739" s="229"/>
      <c r="F739" s="229"/>
      <c r="G739" s="229"/>
    </row>
    <row r="740" spans="1:7" ht="19.5" customHeight="1">
      <c r="A740" s="229"/>
      <c r="B740" s="229"/>
      <c r="C740" s="229"/>
      <c r="F740" s="229"/>
      <c r="G740" s="229"/>
    </row>
    <row r="741" spans="1:7" ht="19.5" customHeight="1">
      <c r="A741" s="229"/>
      <c r="B741" s="229"/>
      <c r="C741" s="229"/>
      <c r="F741" s="229"/>
      <c r="G741" s="229"/>
    </row>
    <row r="742" spans="1:7" ht="19.5" customHeight="1">
      <c r="A742" s="229"/>
      <c r="B742" s="229"/>
      <c r="C742" s="229"/>
      <c r="F742" s="229"/>
      <c r="G742" s="229"/>
    </row>
    <row r="743" spans="1:7" ht="19.5" customHeight="1">
      <c r="A743" s="229"/>
      <c r="B743" s="229"/>
      <c r="C743" s="229"/>
      <c r="F743" s="229"/>
      <c r="G743" s="229"/>
    </row>
    <row r="744" spans="1:7" ht="19.5" customHeight="1">
      <c r="A744" s="229"/>
      <c r="B744" s="229"/>
      <c r="C744" s="229"/>
      <c r="F744" s="229"/>
      <c r="G744" s="229"/>
    </row>
    <row r="745" spans="1:7" ht="19.5" customHeight="1">
      <c r="A745" s="229"/>
      <c r="B745" s="229"/>
      <c r="C745" s="229"/>
      <c r="F745" s="229"/>
      <c r="G745" s="229"/>
    </row>
    <row r="746" spans="1:7" ht="19.5" customHeight="1">
      <c r="A746" s="229"/>
      <c r="B746" s="229"/>
      <c r="C746" s="229"/>
      <c r="F746" s="229"/>
      <c r="G746" s="229"/>
    </row>
    <row r="747" spans="1:7" ht="19.5" customHeight="1">
      <c r="A747" s="229"/>
      <c r="B747" s="229"/>
      <c r="C747" s="229"/>
      <c r="F747" s="229"/>
      <c r="G747" s="229"/>
    </row>
    <row r="748" spans="1:7" ht="19.5" customHeight="1">
      <c r="A748" s="229"/>
      <c r="B748" s="229"/>
      <c r="C748" s="229"/>
      <c r="F748" s="229"/>
      <c r="G748" s="229"/>
    </row>
    <row r="749" spans="1:7" ht="19.5" customHeight="1">
      <c r="A749" s="229"/>
      <c r="B749" s="229"/>
      <c r="C749" s="229"/>
      <c r="F749" s="229"/>
      <c r="G749" s="229"/>
    </row>
    <row r="750" spans="1:7" ht="19.5" customHeight="1">
      <c r="A750" s="229"/>
      <c r="B750" s="229"/>
      <c r="C750" s="229"/>
      <c r="F750" s="229"/>
      <c r="G750" s="229"/>
    </row>
    <row r="751" spans="1:7" ht="19.5" customHeight="1">
      <c r="A751" s="229"/>
      <c r="B751" s="229"/>
      <c r="C751" s="229"/>
      <c r="F751" s="229"/>
      <c r="G751" s="229"/>
    </row>
    <row r="752" spans="1:7" ht="19.5" customHeight="1">
      <c r="A752" s="229"/>
      <c r="B752" s="229"/>
      <c r="C752" s="229"/>
      <c r="F752" s="229"/>
      <c r="G752" s="229"/>
    </row>
    <row r="753" spans="1:7" ht="19.5" customHeight="1">
      <c r="A753" s="229"/>
      <c r="B753" s="229"/>
      <c r="C753" s="229"/>
      <c r="F753" s="229"/>
      <c r="G753" s="229"/>
    </row>
    <row r="754" spans="1:7" ht="19.5" customHeight="1">
      <c r="A754" s="229"/>
      <c r="B754" s="229"/>
      <c r="C754" s="229"/>
      <c r="F754" s="229"/>
      <c r="G754" s="229"/>
    </row>
    <row r="755" spans="1:7" ht="19.5" customHeight="1">
      <c r="A755" s="229"/>
      <c r="B755" s="229"/>
      <c r="C755" s="229"/>
      <c r="F755" s="229"/>
      <c r="G755" s="229"/>
    </row>
    <row r="756" spans="1:7" ht="19.5" customHeight="1">
      <c r="A756" s="229"/>
      <c r="B756" s="229"/>
      <c r="C756" s="229"/>
      <c r="F756" s="229"/>
      <c r="G756" s="229"/>
    </row>
    <row r="757" spans="1:7" ht="19.5" customHeight="1">
      <c r="A757" s="229"/>
      <c r="B757" s="229"/>
      <c r="C757" s="229"/>
      <c r="F757" s="229"/>
      <c r="G757" s="229"/>
    </row>
    <row r="758" spans="1:7" ht="19.5" customHeight="1">
      <c r="A758" s="229"/>
      <c r="B758" s="229"/>
      <c r="C758" s="229"/>
      <c r="F758" s="229"/>
      <c r="G758" s="229"/>
    </row>
    <row r="759" spans="1:7" ht="19.5" customHeight="1">
      <c r="A759" s="229"/>
      <c r="B759" s="229"/>
      <c r="C759" s="229"/>
      <c r="F759" s="229"/>
      <c r="G759" s="229"/>
    </row>
    <row r="760" spans="1:7" ht="19.5" customHeight="1">
      <c r="A760" s="229"/>
      <c r="B760" s="229"/>
      <c r="C760" s="229"/>
      <c r="F760" s="229"/>
      <c r="G760" s="229"/>
    </row>
    <row r="761" spans="1:7" ht="19.5" customHeight="1">
      <c r="A761" s="229"/>
      <c r="B761" s="229"/>
      <c r="C761" s="229"/>
      <c r="F761" s="229"/>
      <c r="G761" s="229"/>
    </row>
    <row r="762" spans="1:7" ht="19.5" customHeight="1">
      <c r="A762" s="229"/>
      <c r="B762" s="229"/>
      <c r="C762" s="229"/>
      <c r="F762" s="229"/>
      <c r="G762" s="229"/>
    </row>
    <row r="763" spans="1:7" ht="19.5" customHeight="1">
      <c r="A763" s="229"/>
      <c r="B763" s="229"/>
      <c r="C763" s="229"/>
      <c r="F763" s="229"/>
      <c r="G763" s="229"/>
    </row>
    <row r="764" spans="1:7" ht="19.5" customHeight="1">
      <c r="A764" s="229"/>
      <c r="B764" s="229"/>
      <c r="C764" s="229"/>
      <c r="F764" s="229"/>
      <c r="G764" s="229"/>
    </row>
    <row r="765" spans="1:7" ht="19.5" customHeight="1">
      <c r="A765" s="229"/>
      <c r="B765" s="229"/>
      <c r="C765" s="229"/>
      <c r="F765" s="229"/>
      <c r="G765" s="229"/>
    </row>
    <row r="766" spans="1:7" ht="19.5" customHeight="1">
      <c r="A766" s="229"/>
      <c r="B766" s="229"/>
      <c r="C766" s="229"/>
      <c r="F766" s="229"/>
      <c r="G766" s="229"/>
    </row>
    <row r="767" spans="1:7" ht="19.5" customHeight="1">
      <c r="A767" s="229"/>
      <c r="B767" s="229"/>
      <c r="C767" s="229"/>
      <c r="F767" s="229"/>
      <c r="G767" s="229"/>
    </row>
    <row r="768" spans="1:7" ht="19.5" customHeight="1">
      <c r="A768" s="229"/>
      <c r="B768" s="229"/>
      <c r="C768" s="229"/>
      <c r="F768" s="229"/>
      <c r="G768" s="229"/>
    </row>
    <row r="769" spans="1:7" ht="19.5" customHeight="1">
      <c r="A769" s="229"/>
      <c r="B769" s="229"/>
      <c r="C769" s="229"/>
      <c r="F769" s="229"/>
      <c r="G769" s="229"/>
    </row>
    <row r="770" spans="1:7" ht="19.5" customHeight="1">
      <c r="A770" s="229"/>
      <c r="B770" s="229"/>
      <c r="C770" s="229"/>
      <c r="F770" s="229"/>
      <c r="G770" s="229"/>
    </row>
    <row r="771" spans="1:7" ht="19.5" customHeight="1">
      <c r="A771" s="229"/>
      <c r="B771" s="229"/>
      <c r="C771" s="229"/>
      <c r="F771" s="229"/>
      <c r="G771" s="229"/>
    </row>
    <row r="772" spans="1:7" ht="19.5" customHeight="1">
      <c r="A772" s="229"/>
      <c r="B772" s="229"/>
      <c r="C772" s="229"/>
      <c r="F772" s="229"/>
      <c r="G772" s="229"/>
    </row>
    <row r="773" spans="1:7" ht="19.5" customHeight="1">
      <c r="A773" s="229"/>
      <c r="B773" s="229"/>
      <c r="C773" s="229"/>
      <c r="F773" s="229"/>
      <c r="G773" s="229"/>
    </row>
    <row r="774" spans="1:7" ht="19.5" customHeight="1">
      <c r="A774" s="229"/>
      <c r="B774" s="229"/>
      <c r="C774" s="229"/>
      <c r="F774" s="229"/>
      <c r="G774" s="229"/>
    </row>
    <row r="775" spans="1:7" ht="19.5" customHeight="1">
      <c r="A775" s="229"/>
      <c r="B775" s="229"/>
      <c r="C775" s="229"/>
      <c r="F775" s="229"/>
      <c r="G775" s="229"/>
    </row>
    <row r="776" spans="1:7" ht="19.5" customHeight="1">
      <c r="A776" s="229"/>
      <c r="B776" s="229"/>
      <c r="C776" s="229"/>
      <c r="F776" s="229"/>
      <c r="G776" s="229"/>
    </row>
    <row r="777" spans="1:7" ht="19.5" customHeight="1">
      <c r="A777" s="229"/>
      <c r="B777" s="229"/>
      <c r="C777" s="229"/>
      <c r="F777" s="229"/>
      <c r="G777" s="229"/>
    </row>
    <row r="778" spans="1:7" ht="19.5" customHeight="1">
      <c r="A778" s="229"/>
      <c r="B778" s="229"/>
      <c r="C778" s="229"/>
      <c r="F778" s="229"/>
      <c r="G778" s="229"/>
    </row>
    <row r="779" spans="1:7" ht="19.5" customHeight="1">
      <c r="A779" s="229"/>
      <c r="B779" s="229"/>
      <c r="C779" s="229"/>
      <c r="F779" s="229"/>
      <c r="G779" s="229"/>
    </row>
    <row r="780" spans="1:7" ht="19.5" customHeight="1">
      <c r="A780" s="229"/>
      <c r="B780" s="229"/>
      <c r="C780" s="229"/>
      <c r="F780" s="229"/>
      <c r="G780" s="229"/>
    </row>
    <row r="781" spans="1:7" ht="19.5" customHeight="1">
      <c r="A781" s="229"/>
      <c r="B781" s="229"/>
      <c r="C781" s="229"/>
      <c r="F781" s="229"/>
      <c r="G781" s="229"/>
    </row>
    <row r="782" spans="1:7" ht="19.5" customHeight="1">
      <c r="A782" s="229"/>
      <c r="B782" s="229"/>
      <c r="C782" s="229"/>
      <c r="F782" s="229"/>
      <c r="G782" s="229"/>
    </row>
    <row r="783" spans="1:7" ht="19.5" customHeight="1">
      <c r="A783" s="229"/>
      <c r="B783" s="229"/>
      <c r="C783" s="229"/>
      <c r="F783" s="229"/>
      <c r="G783" s="229"/>
    </row>
    <row r="784" spans="1:7" ht="19.5" customHeight="1">
      <c r="A784" s="229"/>
      <c r="B784" s="229"/>
      <c r="C784" s="229"/>
      <c r="F784" s="229"/>
      <c r="G784" s="229"/>
    </row>
    <row r="785" spans="1:7" ht="19.5" customHeight="1">
      <c r="A785" s="229"/>
      <c r="B785" s="229"/>
      <c r="C785" s="229"/>
      <c r="F785" s="229"/>
      <c r="G785" s="229"/>
    </row>
    <row r="786" spans="1:7" ht="19.5" customHeight="1">
      <c r="A786" s="229"/>
      <c r="B786" s="229"/>
      <c r="C786" s="229"/>
      <c r="F786" s="229"/>
      <c r="G786" s="229"/>
    </row>
    <row r="787" spans="1:7" ht="19.5" customHeight="1">
      <c r="A787" s="229"/>
      <c r="B787" s="229"/>
      <c r="C787" s="229"/>
      <c r="F787" s="229"/>
      <c r="G787" s="229"/>
    </row>
    <row r="788" spans="1:7" ht="19.5" customHeight="1">
      <c r="A788" s="229"/>
      <c r="B788" s="229"/>
      <c r="C788" s="229"/>
      <c r="F788" s="229"/>
      <c r="G788" s="229"/>
    </row>
    <row r="789" spans="1:7" ht="19.5" customHeight="1">
      <c r="A789" s="229"/>
      <c r="B789" s="229"/>
      <c r="C789" s="229"/>
      <c r="F789" s="229"/>
      <c r="G789" s="229"/>
    </row>
    <row r="790" spans="1:7" ht="19.5" customHeight="1">
      <c r="A790" s="229"/>
      <c r="B790" s="229"/>
      <c r="C790" s="229"/>
      <c r="F790" s="229"/>
      <c r="G790" s="229"/>
    </row>
    <row r="791" spans="1:7" ht="19.5" customHeight="1">
      <c r="A791" s="229"/>
      <c r="B791" s="229"/>
      <c r="C791" s="229"/>
      <c r="F791" s="229"/>
      <c r="G791" s="229"/>
    </row>
    <row r="792" spans="1:7" ht="19.5" customHeight="1">
      <c r="A792" s="229"/>
      <c r="B792" s="229"/>
      <c r="C792" s="229"/>
      <c r="F792" s="229"/>
      <c r="G792" s="229"/>
    </row>
    <row r="793" spans="1:7" ht="19.5" customHeight="1">
      <c r="A793" s="229"/>
      <c r="B793" s="229"/>
      <c r="C793" s="229"/>
      <c r="F793" s="229"/>
      <c r="G793" s="229"/>
    </row>
    <row r="794" spans="1:7" ht="19.5" customHeight="1">
      <c r="A794" s="229"/>
      <c r="B794" s="229"/>
      <c r="C794" s="229"/>
      <c r="F794" s="229"/>
      <c r="G794" s="229"/>
    </row>
    <row r="795" spans="1:7" ht="19.5" customHeight="1">
      <c r="A795" s="229"/>
      <c r="B795" s="229"/>
      <c r="C795" s="229"/>
      <c r="F795" s="229"/>
      <c r="G795" s="229"/>
    </row>
    <row r="796" spans="1:7" ht="19.5" customHeight="1">
      <c r="A796" s="229"/>
      <c r="B796" s="229"/>
      <c r="C796" s="229"/>
      <c r="F796" s="229"/>
      <c r="G796" s="229"/>
    </row>
    <row r="797" spans="1:7" ht="19.5" customHeight="1">
      <c r="A797" s="229"/>
      <c r="B797" s="229"/>
      <c r="C797" s="229"/>
      <c r="F797" s="229"/>
      <c r="G797" s="229"/>
    </row>
    <row r="798" spans="1:7" ht="19.5" customHeight="1">
      <c r="A798" s="229"/>
      <c r="B798" s="229"/>
      <c r="C798" s="229"/>
      <c r="F798" s="229"/>
      <c r="G798" s="229"/>
    </row>
    <row r="799" spans="1:7" ht="19.5" customHeight="1">
      <c r="A799" s="229"/>
      <c r="B799" s="229"/>
      <c r="C799" s="229"/>
      <c r="F799" s="229"/>
      <c r="G799" s="229"/>
    </row>
    <row r="800" spans="1:7" ht="19.5" customHeight="1">
      <c r="A800" s="229"/>
      <c r="B800" s="229"/>
      <c r="C800" s="229"/>
      <c r="F800" s="229"/>
      <c r="G800" s="229"/>
    </row>
    <row r="801" spans="1:7" ht="19.5" customHeight="1">
      <c r="A801" s="229"/>
      <c r="B801" s="229"/>
      <c r="C801" s="229"/>
      <c r="F801" s="229"/>
      <c r="G801" s="229"/>
    </row>
    <row r="802" spans="1:7" ht="19.5" customHeight="1">
      <c r="A802" s="229"/>
      <c r="B802" s="229"/>
      <c r="C802" s="229"/>
      <c r="F802" s="229"/>
      <c r="G802" s="229"/>
    </row>
    <row r="803" spans="1:7" ht="19.5" customHeight="1">
      <c r="A803" s="229"/>
      <c r="B803" s="229"/>
      <c r="C803" s="229"/>
      <c r="F803" s="229"/>
      <c r="G803" s="229"/>
    </row>
    <row r="804" spans="1:7" ht="19.5" customHeight="1">
      <c r="A804" s="229"/>
      <c r="B804" s="229"/>
      <c r="C804" s="229"/>
      <c r="F804" s="229"/>
      <c r="G804" s="229"/>
    </row>
    <row r="805" spans="1:7" ht="19.5" customHeight="1">
      <c r="A805" s="229"/>
      <c r="B805" s="229"/>
      <c r="C805" s="229"/>
      <c r="F805" s="229"/>
      <c r="G805" s="229"/>
    </row>
    <row r="806" spans="1:7" ht="19.5" customHeight="1">
      <c r="A806" s="229"/>
      <c r="B806" s="229"/>
      <c r="C806" s="229"/>
      <c r="F806" s="229"/>
      <c r="G806" s="229"/>
    </row>
    <row r="807" spans="1:7" ht="19.5" customHeight="1">
      <c r="A807" s="229"/>
      <c r="B807" s="229"/>
      <c r="C807" s="229"/>
      <c r="F807" s="229"/>
      <c r="G807" s="229"/>
    </row>
    <row r="808" spans="1:7" ht="19.5" customHeight="1">
      <c r="A808" s="229"/>
      <c r="B808" s="229"/>
      <c r="C808" s="229"/>
      <c r="F808" s="229"/>
      <c r="G808" s="229"/>
    </row>
    <row r="809" spans="1:7" ht="19.5" customHeight="1">
      <c r="A809" s="229"/>
      <c r="B809" s="229"/>
      <c r="C809" s="229"/>
      <c r="F809" s="229"/>
      <c r="G809" s="229"/>
    </row>
    <row r="810" spans="1:7" ht="19.5" customHeight="1">
      <c r="A810" s="229"/>
      <c r="B810" s="229"/>
      <c r="C810" s="229"/>
      <c r="F810" s="229"/>
      <c r="G810" s="229"/>
    </row>
    <row r="811" spans="1:7" ht="19.5" customHeight="1">
      <c r="A811" s="229"/>
      <c r="B811" s="229"/>
      <c r="C811" s="229"/>
      <c r="F811" s="229"/>
      <c r="G811" s="229"/>
    </row>
    <row r="812" spans="1:7" ht="19.5" customHeight="1">
      <c r="A812" s="229"/>
      <c r="B812" s="229"/>
      <c r="C812" s="229"/>
      <c r="F812" s="229"/>
      <c r="G812" s="229"/>
    </row>
    <row r="813" spans="1:7" ht="19.5" customHeight="1">
      <c r="A813" s="229"/>
      <c r="B813" s="229"/>
      <c r="C813" s="229"/>
      <c r="F813" s="229"/>
      <c r="G813" s="229"/>
    </row>
    <row r="814" spans="1:7" ht="19.5" customHeight="1">
      <c r="A814" s="229"/>
      <c r="B814" s="229"/>
      <c r="C814" s="229"/>
      <c r="F814" s="229"/>
      <c r="G814" s="229"/>
    </row>
    <row r="815" spans="1:7" ht="19.5" customHeight="1">
      <c r="A815" s="229"/>
      <c r="B815" s="229"/>
      <c r="C815" s="229"/>
      <c r="F815" s="229"/>
      <c r="G815" s="229"/>
    </row>
    <row r="816" spans="1:7" ht="19.5" customHeight="1">
      <c r="A816" s="229"/>
      <c r="B816" s="229"/>
      <c r="C816" s="229"/>
      <c r="F816" s="229"/>
      <c r="G816" s="229"/>
    </row>
    <row r="817" spans="1:7" ht="19.5" customHeight="1">
      <c r="A817" s="229"/>
      <c r="B817" s="229"/>
      <c r="C817" s="229"/>
      <c r="F817" s="229"/>
      <c r="G817" s="229"/>
    </row>
    <row r="818" spans="1:7" ht="19.5" customHeight="1">
      <c r="A818" s="229"/>
      <c r="B818" s="229"/>
      <c r="C818" s="229"/>
      <c r="F818" s="229"/>
      <c r="G818" s="229"/>
    </row>
    <row r="819" spans="1:7" ht="19.5" customHeight="1">
      <c r="A819" s="229"/>
      <c r="B819" s="229"/>
      <c r="C819" s="229"/>
      <c r="F819" s="229"/>
      <c r="G819" s="229"/>
    </row>
    <row r="820" spans="1:7" ht="19.5" customHeight="1">
      <c r="A820" s="229"/>
      <c r="B820" s="229"/>
      <c r="C820" s="229"/>
      <c r="F820" s="229"/>
      <c r="G820" s="229"/>
    </row>
    <row r="821" spans="1:7" ht="19.5" customHeight="1">
      <c r="A821" s="229"/>
      <c r="B821" s="229"/>
      <c r="C821" s="229"/>
      <c r="F821" s="229"/>
      <c r="G821" s="229"/>
    </row>
    <row r="822" spans="1:7" ht="19.5" customHeight="1">
      <c r="A822" s="229"/>
      <c r="B822" s="229"/>
      <c r="C822" s="229"/>
      <c r="F822" s="229"/>
      <c r="G822" s="229"/>
    </row>
    <row r="823" spans="1:7" ht="19.5" customHeight="1">
      <c r="A823" s="229"/>
      <c r="B823" s="229"/>
      <c r="C823" s="229"/>
      <c r="F823" s="229"/>
      <c r="G823" s="229"/>
    </row>
    <row r="824" spans="1:7" ht="19.5" customHeight="1">
      <c r="A824" s="229"/>
      <c r="B824" s="229"/>
      <c r="C824" s="229"/>
      <c r="F824" s="229"/>
      <c r="G824" s="229"/>
    </row>
    <row r="825" spans="1:7" ht="19.5" customHeight="1">
      <c r="A825" s="229"/>
      <c r="B825" s="229"/>
      <c r="C825" s="229"/>
      <c r="F825" s="229"/>
      <c r="G825" s="229"/>
    </row>
    <row r="826" spans="1:7" ht="19.5" customHeight="1">
      <c r="A826" s="229"/>
      <c r="B826" s="229"/>
      <c r="C826" s="229"/>
      <c r="F826" s="229"/>
      <c r="G826" s="229"/>
    </row>
    <row r="827" spans="1:7" ht="19.5" customHeight="1">
      <c r="A827" s="229"/>
      <c r="B827" s="229"/>
      <c r="C827" s="229"/>
      <c r="F827" s="229"/>
      <c r="G827" s="229"/>
    </row>
    <row r="828" spans="1:7" ht="19.5" customHeight="1">
      <c r="A828" s="229"/>
      <c r="B828" s="229"/>
      <c r="C828" s="229"/>
      <c r="F828" s="229"/>
      <c r="G828" s="229"/>
    </row>
    <row r="829" spans="1:7" ht="19.5" customHeight="1">
      <c r="A829" s="229"/>
      <c r="B829" s="229"/>
      <c r="C829" s="229"/>
      <c r="F829" s="229"/>
      <c r="G829" s="229"/>
    </row>
    <row r="830" spans="1:7" ht="19.5" customHeight="1">
      <c r="A830" s="229"/>
      <c r="B830" s="229"/>
      <c r="C830" s="229"/>
      <c r="F830" s="229"/>
      <c r="G830" s="229"/>
    </row>
    <row r="831" spans="1:7" ht="19.5" customHeight="1">
      <c r="A831" s="229"/>
      <c r="B831" s="229"/>
      <c r="C831" s="229"/>
      <c r="F831" s="229"/>
      <c r="G831" s="229"/>
    </row>
    <row r="832" spans="1:7" ht="19.5" customHeight="1">
      <c r="A832" s="270"/>
      <c r="B832" s="270"/>
      <c r="C832" s="270"/>
      <c r="D832" s="270"/>
      <c r="G832" s="272"/>
    </row>
    <row r="833" spans="1:7" ht="19.5" customHeight="1">
      <c r="A833" s="270"/>
      <c r="B833" s="270"/>
      <c r="C833" s="270"/>
      <c r="D833" s="270"/>
      <c r="G833" s="272"/>
    </row>
    <row r="834" spans="1:7" ht="19.5" customHeight="1">
      <c r="A834" s="270"/>
      <c r="B834" s="270"/>
      <c r="C834" s="270"/>
      <c r="D834" s="270"/>
      <c r="G834" s="272"/>
    </row>
    <row r="835" spans="1:7" ht="19.5" customHeight="1">
      <c r="A835" s="270"/>
      <c r="B835" s="270"/>
      <c r="C835" s="270"/>
      <c r="D835" s="270"/>
      <c r="G835" s="272"/>
    </row>
    <row r="836" spans="1:7" ht="19.5" customHeight="1">
      <c r="A836" s="270"/>
      <c r="B836" s="270"/>
      <c r="C836" s="270"/>
      <c r="D836" s="270"/>
      <c r="G836" s="272"/>
    </row>
  </sheetData>
  <sheetProtection/>
  <mergeCells count="41">
    <mergeCell ref="A95:G95"/>
    <mergeCell ref="E1:G1"/>
    <mergeCell ref="A2:G2"/>
    <mergeCell ref="A3:G3"/>
    <mergeCell ref="A4:D4"/>
    <mergeCell ref="E4:E7"/>
    <mergeCell ref="A94:G94"/>
    <mergeCell ref="A101:G101"/>
    <mergeCell ref="A134:G134"/>
    <mergeCell ref="A143:B143"/>
    <mergeCell ref="A132:G132"/>
    <mergeCell ref="A144:C144"/>
    <mergeCell ref="A97:G97"/>
    <mergeCell ref="A102:G102"/>
    <mergeCell ref="A142:B142"/>
    <mergeCell ref="A138:B138"/>
    <mergeCell ref="A100:G100"/>
    <mergeCell ref="A148:G148"/>
    <mergeCell ref="A153:D153"/>
    <mergeCell ref="A179:D179"/>
    <mergeCell ref="A145:C145"/>
    <mergeCell ref="A146:C146"/>
    <mergeCell ref="A173:G173"/>
    <mergeCell ref="A160:G160"/>
    <mergeCell ref="A135:G135"/>
    <mergeCell ref="A133:G133"/>
    <mergeCell ref="A159:G159"/>
    <mergeCell ref="A149:G149"/>
    <mergeCell ref="A185:E185"/>
    <mergeCell ref="A151:G151"/>
    <mergeCell ref="A176:G176"/>
    <mergeCell ref="A154:C154"/>
    <mergeCell ref="A150:G150"/>
    <mergeCell ref="A137:D137"/>
    <mergeCell ref="A188:E188"/>
    <mergeCell ref="A182:E182"/>
    <mergeCell ref="A180:D180"/>
    <mergeCell ref="A156:B156"/>
    <mergeCell ref="A174:G174"/>
    <mergeCell ref="A175:G175"/>
    <mergeCell ref="A157:D157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SheetLayoutView="100" workbookViewId="0" topLeftCell="A67">
      <selection activeCell="A70" sqref="A70"/>
    </sheetView>
  </sheetViews>
  <sheetFormatPr defaultColWidth="9.140625" defaultRowHeight="12.75"/>
  <cols>
    <col min="1" max="1" width="42.28125" style="122" customWidth="1"/>
    <col min="2" max="2" width="7.140625" style="111" customWidth="1"/>
    <col min="3" max="3" width="13.8515625" style="112" customWidth="1"/>
    <col min="4" max="5" width="11.7109375" style="112" customWidth="1"/>
    <col min="6" max="6" width="13.28125" style="112" customWidth="1"/>
    <col min="7" max="16384" width="9.140625" style="1" customWidth="1"/>
  </cols>
  <sheetData>
    <row r="1" spans="1:6" ht="18.75">
      <c r="A1" s="321" t="s">
        <v>63</v>
      </c>
      <c r="B1" s="321"/>
      <c r="C1" s="321"/>
      <c r="D1" s="321"/>
      <c r="E1" s="321"/>
      <c r="F1" s="321"/>
    </row>
    <row r="2" spans="1:6" ht="18.75">
      <c r="A2" s="321" t="s">
        <v>411</v>
      </c>
      <c r="B2" s="321"/>
      <c r="C2" s="321"/>
      <c r="D2" s="321"/>
      <c r="E2" s="321"/>
      <c r="F2" s="321"/>
    </row>
    <row r="3" spans="1:6" ht="18.75">
      <c r="A3" s="321" t="s">
        <v>545</v>
      </c>
      <c r="B3" s="321"/>
      <c r="C3" s="321"/>
      <c r="D3" s="321"/>
      <c r="E3" s="321"/>
      <c r="F3" s="321"/>
    </row>
    <row r="4" spans="1:6" ht="18.75">
      <c r="A4" s="329"/>
      <c r="B4" s="329"/>
      <c r="C4" s="329"/>
      <c r="D4" s="329"/>
      <c r="E4" s="329"/>
      <c r="F4" s="329"/>
    </row>
    <row r="5" spans="1:6" ht="18.75">
      <c r="A5" s="324" t="s">
        <v>11</v>
      </c>
      <c r="B5" s="325"/>
      <c r="C5" s="326"/>
      <c r="D5" s="326"/>
      <c r="E5" s="326"/>
      <c r="F5" s="327"/>
    </row>
    <row r="6" spans="1:6" ht="18.75">
      <c r="A6" s="323" t="s">
        <v>24</v>
      </c>
      <c r="B6" s="322" t="s">
        <v>3</v>
      </c>
      <c r="C6" s="322" t="s">
        <v>22</v>
      </c>
      <c r="D6" s="322" t="s">
        <v>412</v>
      </c>
      <c r="E6" s="322" t="s">
        <v>37</v>
      </c>
      <c r="F6" s="99" t="s">
        <v>135</v>
      </c>
    </row>
    <row r="7" spans="1:6" ht="18.75">
      <c r="A7" s="323"/>
      <c r="B7" s="322"/>
      <c r="C7" s="322"/>
      <c r="D7" s="322"/>
      <c r="E7" s="322"/>
      <c r="F7" s="99" t="s">
        <v>22</v>
      </c>
    </row>
    <row r="8" spans="1:6" ht="18.75">
      <c r="A8" s="113" t="s">
        <v>38</v>
      </c>
      <c r="B8" s="104"/>
      <c r="C8" s="100"/>
      <c r="D8" s="100"/>
      <c r="E8" s="100"/>
      <c r="F8" s="100"/>
    </row>
    <row r="9" spans="1:6" ht="18.75">
      <c r="A9" s="114" t="s">
        <v>39</v>
      </c>
      <c r="B9" s="47" t="s">
        <v>337</v>
      </c>
      <c r="C9" s="49"/>
      <c r="D9" s="49"/>
      <c r="E9" s="49"/>
      <c r="F9" s="49"/>
    </row>
    <row r="10" spans="1:6" ht="18.75">
      <c r="A10" s="115" t="s">
        <v>40</v>
      </c>
      <c r="B10" s="101">
        <v>411001</v>
      </c>
      <c r="C10" s="49">
        <v>261700</v>
      </c>
      <c r="D10" s="182">
        <v>663</v>
      </c>
      <c r="E10" s="49">
        <f>3851+10422+294281+1580+663</f>
        <v>310797</v>
      </c>
      <c r="F10" s="49">
        <f>E10-C10</f>
        <v>49097</v>
      </c>
    </row>
    <row r="11" spans="1:6" ht="18.75">
      <c r="A11" s="115" t="s">
        <v>41</v>
      </c>
      <c r="B11" s="101">
        <v>411002</v>
      </c>
      <c r="C11" s="49">
        <v>99000</v>
      </c>
      <c r="D11" s="49">
        <v>12579.26</v>
      </c>
      <c r="E11" s="49">
        <f>112.14+13.35+19.58+15100.63+27914.85+25765.5+17231.29+12579.26</f>
        <v>98736.59999999999</v>
      </c>
      <c r="F11" s="49">
        <f>E11-C11</f>
        <v>-263.40000000000873</v>
      </c>
    </row>
    <row r="12" spans="1:6" ht="18.75">
      <c r="A12" s="115" t="s">
        <v>56</v>
      </c>
      <c r="B12" s="101">
        <v>411003</v>
      </c>
      <c r="C12" s="49">
        <v>12800</v>
      </c>
      <c r="D12" s="181">
        <v>0</v>
      </c>
      <c r="E12" s="49">
        <f>400+9287+220</f>
        <v>9907</v>
      </c>
      <c r="F12" s="49">
        <f>E12-C12</f>
        <v>-2893</v>
      </c>
    </row>
    <row r="13" spans="1:6" ht="19.5" thickBot="1">
      <c r="A13" s="116" t="s">
        <v>19</v>
      </c>
      <c r="B13" s="2"/>
      <c r="C13" s="103">
        <f>SUM(C10:C12)</f>
        <v>373500</v>
      </c>
      <c r="D13" s="103">
        <f>SUM(D10:D12)</f>
        <v>13242.26</v>
      </c>
      <c r="E13" s="103">
        <f>SUM(E10:E12)</f>
        <v>419440.6</v>
      </c>
      <c r="F13" s="103">
        <f>SUM(F10:F12)</f>
        <v>45940.59999999999</v>
      </c>
    </row>
    <row r="14" spans="1:6" ht="19.5" thickTop="1">
      <c r="A14" s="117" t="s">
        <v>42</v>
      </c>
      <c r="B14" s="98" t="s">
        <v>338</v>
      </c>
      <c r="C14" s="49"/>
      <c r="D14" s="49"/>
      <c r="E14" s="49"/>
      <c r="F14" s="49"/>
    </row>
    <row r="15" spans="1:6" ht="18.75">
      <c r="A15" s="212" t="s">
        <v>381</v>
      </c>
      <c r="B15" s="9" t="s">
        <v>382</v>
      </c>
      <c r="C15" s="49">
        <v>1300</v>
      </c>
      <c r="D15" s="49">
        <v>19.4</v>
      </c>
      <c r="E15" s="49">
        <f>659.6+310.4+77.6+38.8+19.4</f>
        <v>1105.8</v>
      </c>
      <c r="F15" s="49">
        <f>E15-C15</f>
        <v>-194.20000000000005</v>
      </c>
    </row>
    <row r="16" spans="1:6" ht="18.75">
      <c r="A16" s="115" t="s">
        <v>43</v>
      </c>
      <c r="B16" s="101">
        <v>412106</v>
      </c>
      <c r="C16" s="49">
        <v>1800</v>
      </c>
      <c r="D16" s="49">
        <v>1502</v>
      </c>
      <c r="E16" s="49">
        <f>186+170+162+96+22142+201+41+1502</f>
        <v>24500</v>
      </c>
      <c r="F16" s="49">
        <f aca="true" t="shared" si="0" ref="F16:F24">E16-C16</f>
        <v>22700</v>
      </c>
    </row>
    <row r="17" spans="1:6" ht="18.75">
      <c r="A17" s="115" t="s">
        <v>344</v>
      </c>
      <c r="B17" s="101">
        <v>412111</v>
      </c>
      <c r="C17" s="49">
        <v>50</v>
      </c>
      <c r="D17" s="182">
        <v>1964</v>
      </c>
      <c r="E17" s="49">
        <f>20+40+10+1964</f>
        <v>2034</v>
      </c>
      <c r="F17" s="49">
        <f t="shared" si="0"/>
        <v>1984</v>
      </c>
    </row>
    <row r="18" spans="1:6" ht="18.75">
      <c r="A18" s="115" t="s">
        <v>77</v>
      </c>
      <c r="B18" s="101">
        <v>412128</v>
      </c>
      <c r="C18" s="49">
        <v>300</v>
      </c>
      <c r="D18" s="49">
        <v>0</v>
      </c>
      <c r="E18" s="49">
        <f>50+20+50</f>
        <v>120</v>
      </c>
      <c r="F18" s="49">
        <f t="shared" si="0"/>
        <v>-180</v>
      </c>
    </row>
    <row r="19" spans="1:6" ht="18.75">
      <c r="A19" s="115" t="s">
        <v>129</v>
      </c>
      <c r="B19" s="5" t="s">
        <v>345</v>
      </c>
      <c r="C19" s="49">
        <v>82500</v>
      </c>
      <c r="D19" s="49">
        <v>0</v>
      </c>
      <c r="E19" s="49">
        <f>4251</f>
        <v>4251</v>
      </c>
      <c r="F19" s="49">
        <f t="shared" si="0"/>
        <v>-78249</v>
      </c>
    </row>
    <row r="20" spans="1:6" ht="18.75">
      <c r="A20" s="115" t="s">
        <v>130</v>
      </c>
      <c r="B20" s="5" t="s">
        <v>346</v>
      </c>
      <c r="C20" s="49">
        <v>4000</v>
      </c>
      <c r="D20" s="182">
        <v>3000</v>
      </c>
      <c r="E20" s="49">
        <f>1000+3000</f>
        <v>4000</v>
      </c>
      <c r="F20" s="49">
        <f t="shared" si="0"/>
        <v>0</v>
      </c>
    </row>
    <row r="21" spans="1:6" ht="18.75">
      <c r="A21" s="115" t="s">
        <v>347</v>
      </c>
      <c r="B21" s="5" t="s">
        <v>348</v>
      </c>
      <c r="C21" s="49">
        <v>60600</v>
      </c>
      <c r="D21" s="49">
        <v>10000</v>
      </c>
      <c r="E21" s="49">
        <f>2800+5800+34100+440+10000</f>
        <v>53140</v>
      </c>
      <c r="F21" s="49">
        <f t="shared" si="0"/>
        <v>-7460</v>
      </c>
    </row>
    <row r="22" spans="1:6" ht="18.75">
      <c r="A22" s="115" t="s">
        <v>131</v>
      </c>
      <c r="B22" s="5" t="s">
        <v>349</v>
      </c>
      <c r="C22" s="49">
        <v>21900</v>
      </c>
      <c r="D22" s="49">
        <v>2020</v>
      </c>
      <c r="E22" s="49">
        <f>3360+2170+2020+1920+2120+2120+2120+2020</f>
        <v>17850</v>
      </c>
      <c r="F22" s="49">
        <f t="shared" si="0"/>
        <v>-4050</v>
      </c>
    </row>
    <row r="23" spans="1:6" ht="18.75">
      <c r="A23" s="115" t="s">
        <v>132</v>
      </c>
      <c r="B23" s="5" t="s">
        <v>350</v>
      </c>
      <c r="C23" s="49">
        <v>500</v>
      </c>
      <c r="D23" s="49">
        <v>60</v>
      </c>
      <c r="E23" s="49">
        <f>80+60+60+40+80+80+20+60</f>
        <v>480</v>
      </c>
      <c r="F23" s="49">
        <f t="shared" si="0"/>
        <v>-20</v>
      </c>
    </row>
    <row r="24" spans="1:6" ht="19.5" thickBot="1">
      <c r="A24" s="116" t="s">
        <v>19</v>
      </c>
      <c r="B24" s="104"/>
      <c r="C24" s="103">
        <f>SUM(C15:C23)</f>
        <v>172950</v>
      </c>
      <c r="D24" s="103">
        <f>SUM(D15:D23)</f>
        <v>18565.4</v>
      </c>
      <c r="E24" s="103">
        <f>SUM(E15:E23)</f>
        <v>107480.8</v>
      </c>
      <c r="F24" s="103">
        <f t="shared" si="0"/>
        <v>-65469.2</v>
      </c>
    </row>
    <row r="25" spans="1:6" ht="19.5" thickTop="1">
      <c r="A25" s="118" t="s">
        <v>44</v>
      </c>
      <c r="B25" s="47" t="s">
        <v>339</v>
      </c>
      <c r="C25" s="49"/>
      <c r="D25" s="49"/>
      <c r="E25" s="49"/>
      <c r="F25" s="49"/>
    </row>
    <row r="26" spans="1:6" ht="18.75">
      <c r="A26" s="115" t="s">
        <v>45</v>
      </c>
      <c r="B26" s="5" t="s">
        <v>351</v>
      </c>
      <c r="C26" s="49">
        <v>200000</v>
      </c>
      <c r="D26" s="49">
        <v>7085.38</v>
      </c>
      <c r="E26" s="49">
        <f>5543.01+4002.89+50238.45+15920.24+3997.75+43495.89+5467.78+7085.38</f>
        <v>135751.38999999998</v>
      </c>
      <c r="F26" s="49">
        <f>E26-C26</f>
        <v>-64248.610000000015</v>
      </c>
    </row>
    <row r="27" spans="1:6" ht="19.5" thickBot="1">
      <c r="A27" s="116" t="s">
        <v>19</v>
      </c>
      <c r="B27" s="104"/>
      <c r="C27" s="103">
        <f>SUM(C26)</f>
        <v>200000</v>
      </c>
      <c r="D27" s="103">
        <f>SUM(D25:D26)</f>
        <v>7085.38</v>
      </c>
      <c r="E27" s="103">
        <f>SUM(E25:E26)</f>
        <v>135751.38999999998</v>
      </c>
      <c r="F27" s="103">
        <f>SUM(F26)</f>
        <v>-64248.610000000015</v>
      </c>
    </row>
    <row r="28" spans="1:6" ht="19.5" thickTop="1">
      <c r="A28" s="118" t="s">
        <v>46</v>
      </c>
      <c r="B28" s="47" t="s">
        <v>340</v>
      </c>
      <c r="C28" s="49"/>
      <c r="D28" s="49"/>
      <c r="E28" s="49"/>
      <c r="F28" s="49"/>
    </row>
    <row r="29" spans="1:6" ht="18.75">
      <c r="A29" s="115" t="s">
        <v>47</v>
      </c>
      <c r="B29" s="5" t="s">
        <v>352</v>
      </c>
      <c r="C29" s="49">
        <v>50000</v>
      </c>
      <c r="D29" s="105">
        <v>0</v>
      </c>
      <c r="E29" s="49">
        <f>4500+1000+1000+400</f>
        <v>6900</v>
      </c>
      <c r="F29" s="49">
        <f>E29-C29</f>
        <v>-43100</v>
      </c>
    </row>
    <row r="30" spans="1:6" ht="18.75">
      <c r="A30" s="115" t="s">
        <v>78</v>
      </c>
      <c r="B30" s="5" t="s">
        <v>353</v>
      </c>
      <c r="C30" s="49">
        <v>100</v>
      </c>
      <c r="D30" s="182"/>
      <c r="E30" s="49"/>
      <c r="F30" s="49">
        <f>E30-C30</f>
        <v>-100</v>
      </c>
    </row>
    <row r="31" spans="1:6" ht="18.75">
      <c r="A31" s="115" t="s">
        <v>79</v>
      </c>
      <c r="B31" s="5" t="s">
        <v>354</v>
      </c>
      <c r="C31" s="49">
        <v>700</v>
      </c>
      <c r="D31" s="105">
        <v>0</v>
      </c>
      <c r="E31" s="49">
        <f>300+200</f>
        <v>500</v>
      </c>
      <c r="F31" s="49">
        <f>E31-C31</f>
        <v>-200</v>
      </c>
    </row>
    <row r="32" spans="1:6" ht="19.5" thickBot="1">
      <c r="A32" s="116" t="s">
        <v>19</v>
      </c>
      <c r="B32" s="5"/>
      <c r="C32" s="103">
        <f>SUM(C29:C31)</f>
        <v>50800</v>
      </c>
      <c r="D32" s="103">
        <f>SUM(D29:D31)</f>
        <v>0</v>
      </c>
      <c r="E32" s="103">
        <f>SUM(E29:E31)</f>
        <v>7400</v>
      </c>
      <c r="F32" s="103">
        <f>SUM(F29:F31)</f>
        <v>-43400</v>
      </c>
    </row>
    <row r="33" spans="1:6" ht="19.5" thickTop="1">
      <c r="A33" s="114" t="s">
        <v>76</v>
      </c>
      <c r="B33" s="47" t="s">
        <v>341</v>
      </c>
      <c r="C33" s="49"/>
      <c r="D33" s="49"/>
      <c r="E33" s="49"/>
      <c r="F33" s="49"/>
    </row>
    <row r="34" spans="1:6" ht="18.75">
      <c r="A34" s="115" t="s">
        <v>80</v>
      </c>
      <c r="B34" s="5" t="s">
        <v>355</v>
      </c>
      <c r="C34" s="49">
        <v>500</v>
      </c>
      <c r="D34" s="182">
        <v>0</v>
      </c>
      <c r="E34" s="182">
        <f>345</f>
        <v>345</v>
      </c>
      <c r="F34" s="49">
        <f>E34-C34</f>
        <v>-155</v>
      </c>
    </row>
    <row r="35" spans="1:6" ht="19.5" thickBot="1">
      <c r="A35" s="119" t="s">
        <v>19</v>
      </c>
      <c r="B35" s="106"/>
      <c r="C35" s="103">
        <f>SUM(C34)</f>
        <v>500</v>
      </c>
      <c r="D35" s="103">
        <f>SUM(D33:D34)</f>
        <v>0</v>
      </c>
      <c r="E35" s="103">
        <f>SUM(E33:E34)</f>
        <v>345</v>
      </c>
      <c r="F35" s="103">
        <f>E35-C35</f>
        <v>-155</v>
      </c>
    </row>
    <row r="36" spans="1:6" ht="18.75" customHeight="1" thickTop="1">
      <c r="A36" s="328"/>
      <c r="B36" s="328"/>
      <c r="C36" s="328"/>
      <c r="D36" s="328"/>
      <c r="E36" s="328"/>
      <c r="F36" s="328"/>
    </row>
    <row r="37" spans="1:6" ht="18.75" customHeight="1">
      <c r="A37" s="107"/>
      <c r="B37" s="107"/>
      <c r="C37" s="107"/>
      <c r="D37" s="107"/>
      <c r="E37" s="107"/>
      <c r="F37" s="107"/>
    </row>
    <row r="38" spans="1:6" ht="18.75" customHeight="1">
      <c r="A38" s="107"/>
      <c r="B38" s="107"/>
      <c r="C38" s="107"/>
      <c r="D38" s="107"/>
      <c r="E38" s="107"/>
      <c r="F38" s="107"/>
    </row>
    <row r="39" spans="1:6" ht="18.75" customHeight="1">
      <c r="A39" s="107"/>
      <c r="B39" s="107"/>
      <c r="C39" s="107"/>
      <c r="D39" s="107"/>
      <c r="E39" s="107"/>
      <c r="F39" s="107"/>
    </row>
    <row r="40" spans="1:6" ht="18.75" customHeight="1">
      <c r="A40" s="107"/>
      <c r="B40" s="107"/>
      <c r="C40" s="107"/>
      <c r="D40" s="107"/>
      <c r="E40" s="107"/>
      <c r="F40" s="107"/>
    </row>
    <row r="41" spans="1:6" ht="18.75" customHeight="1">
      <c r="A41" s="107"/>
      <c r="B41" s="107"/>
      <c r="C41" s="107"/>
      <c r="D41" s="107"/>
      <c r="E41" s="107"/>
      <c r="F41" s="107"/>
    </row>
    <row r="42" spans="1:6" ht="18.75" customHeight="1">
      <c r="A42" s="330" t="s">
        <v>53</v>
      </c>
      <c r="B42" s="330"/>
      <c r="C42" s="330"/>
      <c r="D42" s="330"/>
      <c r="E42" s="330"/>
      <c r="F42" s="330"/>
    </row>
    <row r="43" spans="1:6" ht="18.75">
      <c r="A43" s="324" t="s">
        <v>11</v>
      </c>
      <c r="B43" s="325"/>
      <c r="C43" s="326"/>
      <c r="D43" s="326"/>
      <c r="E43" s="326"/>
      <c r="F43" s="327"/>
    </row>
    <row r="44" spans="1:6" ht="18.75">
      <c r="A44" s="323" t="s">
        <v>24</v>
      </c>
      <c r="B44" s="322" t="s">
        <v>3</v>
      </c>
      <c r="C44" s="322" t="s">
        <v>22</v>
      </c>
      <c r="D44" s="322" t="s">
        <v>412</v>
      </c>
      <c r="E44" s="322" t="s">
        <v>37</v>
      </c>
      <c r="F44" s="99" t="s">
        <v>135</v>
      </c>
    </row>
    <row r="45" spans="1:6" ht="18.75">
      <c r="A45" s="323"/>
      <c r="B45" s="322"/>
      <c r="C45" s="322"/>
      <c r="D45" s="322"/>
      <c r="E45" s="322"/>
      <c r="F45" s="99" t="s">
        <v>22</v>
      </c>
    </row>
    <row r="46" spans="1:6" ht="18.75">
      <c r="A46" s="120" t="s">
        <v>81</v>
      </c>
      <c r="B46" s="102">
        <v>420000</v>
      </c>
      <c r="C46" s="108"/>
      <c r="D46" s="108"/>
      <c r="E46" s="108"/>
      <c r="F46" s="108"/>
    </row>
    <row r="47" spans="1:6" ht="18.75">
      <c r="A47" s="114" t="s">
        <v>48</v>
      </c>
      <c r="B47" s="102">
        <v>421000</v>
      </c>
      <c r="C47" s="49"/>
      <c r="D47" s="49"/>
      <c r="E47" s="49"/>
      <c r="F47" s="49"/>
    </row>
    <row r="48" spans="1:6" ht="18.75">
      <c r="A48" s="115" t="s">
        <v>384</v>
      </c>
      <c r="B48" s="104">
        <v>421001</v>
      </c>
      <c r="C48" s="49">
        <v>354700</v>
      </c>
      <c r="D48" s="49">
        <v>78550.4</v>
      </c>
      <c r="E48" s="49">
        <f>98457.44+69655.27+78550.4</f>
        <v>246663.11000000002</v>
      </c>
      <c r="F48" s="49">
        <f>E48-C48</f>
        <v>-108036.88999999998</v>
      </c>
    </row>
    <row r="49" spans="1:6" ht="18.75">
      <c r="A49" s="115" t="s">
        <v>383</v>
      </c>
      <c r="B49" s="101">
        <v>421002</v>
      </c>
      <c r="C49" s="49">
        <v>7296100</v>
      </c>
      <c r="D49" s="49">
        <v>1226031.51</v>
      </c>
      <c r="E49" s="49">
        <f>625141.06+627754.13+636359.11+646579.19+714945.09+647607.01+1226031.51</f>
        <v>5124417.1</v>
      </c>
      <c r="F49" s="49">
        <f>E49-C49</f>
        <v>-2171682.9000000004</v>
      </c>
    </row>
    <row r="50" spans="1:6" ht="18.75">
      <c r="A50" s="115" t="s">
        <v>82</v>
      </c>
      <c r="B50" s="101">
        <v>421004</v>
      </c>
      <c r="C50" s="49">
        <v>2899800</v>
      </c>
      <c r="D50" s="49">
        <v>480361.02</v>
      </c>
      <c r="E50" s="49">
        <f>213214.03+246052.89+240434.46+239942+233669.41+263553.82+480361.02</f>
        <v>1917227.6300000001</v>
      </c>
      <c r="F50" s="49">
        <f aca="true" t="shared" si="1" ref="F50:F56">E50-C50</f>
        <v>-982572.3699999999</v>
      </c>
    </row>
    <row r="51" spans="1:6" ht="18.75">
      <c r="A51" s="115" t="s">
        <v>49</v>
      </c>
      <c r="B51" s="101">
        <v>421005</v>
      </c>
      <c r="C51" s="49">
        <v>125000</v>
      </c>
      <c r="D51" s="182">
        <v>42817.12</v>
      </c>
      <c r="E51" s="49">
        <f>23718.64+43948.92+23962.62+42817.12</f>
        <v>134447.3</v>
      </c>
      <c r="F51" s="49">
        <f t="shared" si="1"/>
        <v>9447.299999999988</v>
      </c>
    </row>
    <row r="52" spans="1:6" ht="18.75">
      <c r="A52" s="115" t="s">
        <v>50</v>
      </c>
      <c r="B52" s="101">
        <v>421006</v>
      </c>
      <c r="C52" s="49">
        <v>1100000</v>
      </c>
      <c r="D52" s="49">
        <v>266032.65</v>
      </c>
      <c r="E52" s="49">
        <f>91128.26+103706.96+108409.87+132188.66+117873.9+128006.17+266032.65</f>
        <v>947346.4700000001</v>
      </c>
      <c r="F52" s="49">
        <f t="shared" si="1"/>
        <v>-152653.5299999999</v>
      </c>
    </row>
    <row r="53" spans="1:6" ht="18.75">
      <c r="A53" s="115" t="s">
        <v>51</v>
      </c>
      <c r="B53" s="101">
        <v>421007</v>
      </c>
      <c r="C53" s="49">
        <v>1800000</v>
      </c>
      <c r="D53" s="49">
        <v>501153.39</v>
      </c>
      <c r="E53" s="49">
        <f>196751.82+218532.97+203990.2+242247.73+283656.44+218443.51+501153.39</f>
        <v>1864776.06</v>
      </c>
      <c r="F53" s="49">
        <f t="shared" si="1"/>
        <v>64776.060000000056</v>
      </c>
    </row>
    <row r="54" spans="1:6" ht="18.75">
      <c r="A54" s="115" t="s">
        <v>83</v>
      </c>
      <c r="B54" s="101">
        <v>421012</v>
      </c>
      <c r="C54" s="49">
        <v>30000</v>
      </c>
      <c r="D54" s="182">
        <v>0</v>
      </c>
      <c r="E54" s="49">
        <f>13638.48</f>
        <v>13638.48</v>
      </c>
      <c r="F54" s="49">
        <f t="shared" si="1"/>
        <v>-16361.52</v>
      </c>
    </row>
    <row r="55" spans="1:6" ht="18.75">
      <c r="A55" s="115" t="s">
        <v>84</v>
      </c>
      <c r="B55" s="101">
        <v>421013</v>
      </c>
      <c r="C55" s="49">
        <v>70000</v>
      </c>
      <c r="D55" s="182">
        <v>10044.38</v>
      </c>
      <c r="E55" s="49">
        <f>13583.96+13176.12+10044.38</f>
        <v>36804.46</v>
      </c>
      <c r="F55" s="49">
        <f t="shared" si="1"/>
        <v>-33195.54</v>
      </c>
    </row>
    <row r="56" spans="1:6" ht="18.75">
      <c r="A56" s="115" t="s">
        <v>133</v>
      </c>
      <c r="B56" s="101">
        <v>421015</v>
      </c>
      <c r="C56" s="49">
        <v>250000</v>
      </c>
      <c r="D56" s="49">
        <v>29210</v>
      </c>
      <c r="E56" s="49">
        <f>30356+71341+9577+62281+200487+48751+29210</f>
        <v>452003</v>
      </c>
      <c r="F56" s="49">
        <f t="shared" si="1"/>
        <v>202003</v>
      </c>
    </row>
    <row r="57" spans="1:6" ht="19.5" thickBot="1">
      <c r="A57" s="116" t="s">
        <v>19</v>
      </c>
      <c r="B57" s="101"/>
      <c r="C57" s="103">
        <f>SUM(C48:C56)</f>
        <v>13925600</v>
      </c>
      <c r="D57" s="103">
        <f>SUM(D48:D56)</f>
        <v>2634200.47</v>
      </c>
      <c r="E57" s="103">
        <f>SUM(E48:E56)</f>
        <v>10737323.610000001</v>
      </c>
      <c r="F57" s="103">
        <f>SUM(F48:F56)</f>
        <v>-3188276.39</v>
      </c>
    </row>
    <row r="58" spans="1:6" ht="19.5" thickTop="1">
      <c r="A58" s="121" t="s">
        <v>85</v>
      </c>
      <c r="B58" s="109">
        <v>430000</v>
      </c>
      <c r="C58" s="105"/>
      <c r="D58" s="105"/>
      <c r="E58" s="105"/>
      <c r="F58" s="105"/>
    </row>
    <row r="59" spans="1:6" ht="18.75">
      <c r="A59" s="114" t="s">
        <v>336</v>
      </c>
      <c r="B59" s="109">
        <v>431000</v>
      </c>
      <c r="C59" s="49"/>
      <c r="D59" s="49"/>
      <c r="E59" s="49"/>
      <c r="F59" s="49"/>
    </row>
    <row r="60" spans="1:6" ht="18.75">
      <c r="A60" s="115" t="s">
        <v>86</v>
      </c>
      <c r="B60" s="101">
        <v>431002</v>
      </c>
      <c r="C60" s="49">
        <v>8451200</v>
      </c>
      <c r="D60" s="49">
        <v>0</v>
      </c>
      <c r="E60" s="49">
        <f>2608471+2757832+953263</f>
        <v>6319566</v>
      </c>
      <c r="F60" s="49">
        <f>E60-C60</f>
        <v>-2131634</v>
      </c>
    </row>
    <row r="61" spans="1:6" ht="18.75">
      <c r="A61" s="115" t="s">
        <v>87</v>
      </c>
      <c r="B61" s="101"/>
      <c r="C61" s="49"/>
      <c r="D61" s="49"/>
      <c r="E61" s="49"/>
      <c r="F61" s="49"/>
    </row>
    <row r="62" spans="1:6" ht="19.5" thickBot="1">
      <c r="A62" s="116" t="s">
        <v>19</v>
      </c>
      <c r="B62" s="101"/>
      <c r="C62" s="103">
        <f>SUM(C60)</f>
        <v>8451200</v>
      </c>
      <c r="D62" s="103">
        <f>SUM(D60:D61)</f>
        <v>0</v>
      </c>
      <c r="E62" s="103">
        <f>SUM(E60:E61)</f>
        <v>6319566</v>
      </c>
      <c r="F62" s="103">
        <f>SUM(F60:F61)</f>
        <v>-2131634</v>
      </c>
    </row>
    <row r="63" spans="1:6" ht="19.5" thickTop="1">
      <c r="A63" s="116" t="s">
        <v>30</v>
      </c>
      <c r="B63" s="101"/>
      <c r="C63" s="110">
        <f>C13+C24+C27+C32+C35+C57+C62</f>
        <v>23174550</v>
      </c>
      <c r="D63" s="110">
        <f>SUM(D13,D24,D27,D32,D57,D62,D35)</f>
        <v>2673093.5100000002</v>
      </c>
      <c r="E63" s="110">
        <f>SUM(E13,E24,E27,E32,E57,E62,E35)</f>
        <v>17727307.400000002</v>
      </c>
      <c r="F63" s="110">
        <f>E63-C63</f>
        <v>-5447242.599999998</v>
      </c>
    </row>
    <row r="64" spans="1:6" ht="18.75">
      <c r="A64" s="121" t="s">
        <v>413</v>
      </c>
      <c r="B64" s="109">
        <v>440000</v>
      </c>
      <c r="C64" s="105"/>
      <c r="D64" s="105"/>
      <c r="E64" s="105"/>
      <c r="F64" s="105"/>
    </row>
    <row r="65" spans="1:6" ht="18.75">
      <c r="A65" s="114" t="s">
        <v>419</v>
      </c>
      <c r="B65" s="109">
        <v>441000</v>
      </c>
      <c r="C65" s="49"/>
      <c r="D65" s="49"/>
      <c r="E65" s="49"/>
      <c r="F65" s="49"/>
    </row>
    <row r="66" spans="1:6" ht="18.75">
      <c r="A66" s="115" t="s">
        <v>496</v>
      </c>
      <c r="B66" s="101">
        <v>441001</v>
      </c>
      <c r="C66" s="49">
        <f>48570+32380+65900</f>
        <v>146850</v>
      </c>
      <c r="D66" s="49">
        <v>0</v>
      </c>
      <c r="E66" s="49">
        <f>48570+32380+65900</f>
        <v>146850</v>
      </c>
      <c r="F66" s="49">
        <f>48570+32380+65900</f>
        <v>146850</v>
      </c>
    </row>
    <row r="67" spans="1:6" ht="18.75">
      <c r="A67" s="115" t="s">
        <v>499</v>
      </c>
      <c r="B67" s="101">
        <v>441001</v>
      </c>
      <c r="C67" s="49">
        <f>27000+18000+36000</f>
        <v>81000</v>
      </c>
      <c r="D67" s="49">
        <v>0</v>
      </c>
      <c r="E67" s="49">
        <f>27000+18000+36000</f>
        <v>81000</v>
      </c>
      <c r="F67" s="49">
        <f>27000+18000+36000</f>
        <v>81000</v>
      </c>
    </row>
    <row r="68" spans="1:6" ht="18.75">
      <c r="A68" s="115" t="s">
        <v>498</v>
      </c>
      <c r="B68" s="101">
        <v>441001</v>
      </c>
      <c r="C68" s="49">
        <f>3000+2000+4000</f>
        <v>9000</v>
      </c>
      <c r="D68" s="49">
        <v>0</v>
      </c>
      <c r="E68" s="49">
        <f>3000+2000+4000</f>
        <v>9000</v>
      </c>
      <c r="F68" s="49">
        <f>3000+2000+4000</f>
        <v>9000</v>
      </c>
    </row>
    <row r="69" spans="1:6" ht="18.75">
      <c r="A69" s="115" t="s">
        <v>497</v>
      </c>
      <c r="B69" s="101">
        <v>441001</v>
      </c>
      <c r="C69" s="49">
        <f>1500+1000+2000</f>
        <v>4500</v>
      </c>
      <c r="D69" s="49">
        <v>0</v>
      </c>
      <c r="E69" s="49">
        <f>1500+1000+2000</f>
        <v>4500</v>
      </c>
      <c r="F69" s="49">
        <f>1500+1000+2000</f>
        <v>4500</v>
      </c>
    </row>
    <row r="70" spans="1:6" ht="18.75">
      <c r="A70" s="115" t="s">
        <v>500</v>
      </c>
      <c r="B70" s="101">
        <v>441001</v>
      </c>
      <c r="C70" s="49">
        <v>63700</v>
      </c>
      <c r="D70" s="49">
        <v>0</v>
      </c>
      <c r="E70" s="49">
        <f>63700</f>
        <v>63700</v>
      </c>
      <c r="F70" s="49">
        <f>63700</f>
        <v>63700</v>
      </c>
    </row>
    <row r="71" spans="1:6" ht="18.75">
      <c r="A71" s="115" t="s">
        <v>501</v>
      </c>
      <c r="B71" s="101">
        <v>441001</v>
      </c>
      <c r="C71" s="49">
        <f>1868400+1245600+1214500+585000</f>
        <v>4913500</v>
      </c>
      <c r="D71" s="49">
        <v>585000</v>
      </c>
      <c r="E71" s="49">
        <f>1868400+1245600+1214500+585000</f>
        <v>4913500</v>
      </c>
      <c r="F71" s="49">
        <f>1868400+1245600+1214500+585000</f>
        <v>4913500</v>
      </c>
    </row>
    <row r="72" spans="1:6" ht="18.75">
      <c r="A72" s="115" t="s">
        <v>502</v>
      </c>
      <c r="B72" s="101">
        <v>441001</v>
      </c>
      <c r="C72" s="49">
        <f>468000+468000+156000+144800</f>
        <v>1236800</v>
      </c>
      <c r="D72" s="49">
        <v>144800</v>
      </c>
      <c r="E72" s="49">
        <f>468000+468000+156000+144800</f>
        <v>1236800</v>
      </c>
      <c r="F72" s="49">
        <f>468000+468000+156000+144800</f>
        <v>1236800</v>
      </c>
    </row>
    <row r="73" spans="1:6" ht="18.75">
      <c r="A73" s="115" t="s">
        <v>549</v>
      </c>
      <c r="B73" s="101">
        <v>441001</v>
      </c>
      <c r="C73" s="49">
        <v>1110000</v>
      </c>
      <c r="D73" s="49">
        <v>1110000</v>
      </c>
      <c r="E73" s="49">
        <v>1110000</v>
      </c>
      <c r="F73" s="49">
        <v>1110000</v>
      </c>
    </row>
    <row r="74" spans="1:6" ht="18.75">
      <c r="A74" s="115" t="s">
        <v>561</v>
      </c>
      <c r="B74" s="101">
        <v>441001</v>
      </c>
      <c r="C74" s="49">
        <v>546595</v>
      </c>
      <c r="D74" s="49"/>
      <c r="E74" s="49"/>
      <c r="F74" s="49"/>
    </row>
    <row r="75" spans="1:6" ht="18.75">
      <c r="A75" s="115" t="s">
        <v>562</v>
      </c>
      <c r="B75" s="101">
        <v>441001</v>
      </c>
      <c r="C75" s="49">
        <v>2671700</v>
      </c>
      <c r="D75" s="49"/>
      <c r="E75" s="49"/>
      <c r="F75" s="49"/>
    </row>
    <row r="76" spans="1:6" ht="18.75">
      <c r="A76" s="115" t="s">
        <v>563</v>
      </c>
      <c r="B76" s="101"/>
      <c r="C76" s="49"/>
      <c r="D76" s="49"/>
      <c r="E76" s="49"/>
      <c r="F76" s="49"/>
    </row>
    <row r="77" spans="1:6" ht="18.75">
      <c r="A77" s="115"/>
      <c r="B77" s="101"/>
      <c r="C77" s="49"/>
      <c r="D77" s="49"/>
      <c r="E77" s="49"/>
      <c r="F77" s="49"/>
    </row>
    <row r="78" spans="1:6" ht="19.5" thickBot="1">
      <c r="A78" s="282" t="s">
        <v>19</v>
      </c>
      <c r="B78" s="101"/>
      <c r="C78" s="103">
        <f>SUM(C66:C77)</f>
        <v>10783645</v>
      </c>
      <c r="D78" s="103">
        <f>SUM(D66:D77)</f>
        <v>1839800</v>
      </c>
      <c r="E78" s="103">
        <f>SUM(E66:E77)</f>
        <v>7565350</v>
      </c>
      <c r="F78" s="103">
        <f>SUM(F66:F77)</f>
        <v>7565350</v>
      </c>
    </row>
    <row r="79" spans="1:6" ht="20.25" thickBot="1" thickTop="1">
      <c r="A79" s="116" t="s">
        <v>463</v>
      </c>
      <c r="B79" s="101"/>
      <c r="C79" s="103">
        <f>SUM(C63+C78)</f>
        <v>33958195</v>
      </c>
      <c r="D79" s="103">
        <f>SUM(D63+D78)</f>
        <v>4512893.51</v>
      </c>
      <c r="E79" s="103">
        <f>SUM(E63+E78)</f>
        <v>25292657.400000002</v>
      </c>
      <c r="F79" s="103">
        <f>SUM(F63+F78)</f>
        <v>2118107.4000000022</v>
      </c>
    </row>
    <row r="80" spans="1:6" ht="19.5" thickTop="1">
      <c r="A80" s="116" t="s">
        <v>52</v>
      </c>
      <c r="B80" s="101"/>
      <c r="C80" s="110">
        <f>SUM(C79)</f>
        <v>33958195</v>
      </c>
      <c r="D80" s="110">
        <f>SUM(D79)</f>
        <v>4512893.51</v>
      </c>
      <c r="E80" s="110">
        <f>SUM(E79)</f>
        <v>25292657.400000002</v>
      </c>
      <c r="F80" s="110">
        <f>SUM(D80:E80)</f>
        <v>29805550.910000004</v>
      </c>
    </row>
  </sheetData>
  <sheetProtection/>
  <mergeCells count="18">
    <mergeCell ref="A1:F1"/>
    <mergeCell ref="A4:F4"/>
    <mergeCell ref="A5:F5"/>
    <mergeCell ref="E44:E45"/>
    <mergeCell ref="A42:F42"/>
    <mergeCell ref="A44:A45"/>
    <mergeCell ref="B44:B45"/>
    <mergeCell ref="C44:C45"/>
    <mergeCell ref="D44:D45"/>
    <mergeCell ref="A2:F2"/>
    <mergeCell ref="A3:F3"/>
    <mergeCell ref="D6:D7"/>
    <mergeCell ref="E6:E7"/>
    <mergeCell ref="A6:A7"/>
    <mergeCell ref="A43:F43"/>
    <mergeCell ref="A36:F36"/>
    <mergeCell ref="B6:B7"/>
    <mergeCell ref="C6:C7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10">
      <selection activeCell="A13" sqref="A13"/>
    </sheetView>
  </sheetViews>
  <sheetFormatPr defaultColWidth="9.140625" defaultRowHeight="18" customHeight="1"/>
  <cols>
    <col min="1" max="1" width="60.28125" style="22" customWidth="1"/>
    <col min="2" max="2" width="16.57421875" style="26" customWidth="1"/>
    <col min="3" max="3" width="17.28125" style="26" customWidth="1"/>
    <col min="4" max="16384" width="9.140625" style="22" customWidth="1"/>
  </cols>
  <sheetData>
    <row r="1" spans="1:3" ht="18" customHeight="1">
      <c r="A1" s="297" t="s">
        <v>57</v>
      </c>
      <c r="B1" s="297"/>
      <c r="C1" s="297"/>
    </row>
    <row r="2" spans="1:3" ht="18" customHeight="1">
      <c r="A2" s="297" t="s">
        <v>58</v>
      </c>
      <c r="B2" s="297"/>
      <c r="C2" s="297"/>
    </row>
    <row r="3" spans="1:3" ht="18" customHeight="1">
      <c r="A3" s="333" t="s">
        <v>551</v>
      </c>
      <c r="B3" s="333"/>
      <c r="C3" s="333"/>
    </row>
    <row r="4" spans="1:3" ht="18" customHeight="1">
      <c r="A4" s="17" t="s">
        <v>24</v>
      </c>
      <c r="B4" s="17" t="s">
        <v>27</v>
      </c>
      <c r="C4" s="17" t="s">
        <v>59</v>
      </c>
    </row>
    <row r="5" spans="1:3" ht="18" customHeight="1">
      <c r="A5" s="24" t="s">
        <v>11</v>
      </c>
      <c r="B5" s="18"/>
      <c r="C5" s="18"/>
    </row>
    <row r="6" spans="1:3" ht="18" customHeight="1">
      <c r="A6" s="20" t="s">
        <v>122</v>
      </c>
      <c r="B6" s="19">
        <v>4512893.51</v>
      </c>
      <c r="C6" s="19">
        <f>1183956.28+6387483.83+2955943.67+3619366.22+1434674.06+1972494.68+3229025.36-3180.21+4512893.51</f>
        <v>25292657.4</v>
      </c>
    </row>
    <row r="7" spans="1:3" ht="18" customHeight="1">
      <c r="A7" s="20" t="s">
        <v>552</v>
      </c>
      <c r="B7" s="19">
        <v>328251.35</v>
      </c>
      <c r="C7" s="19">
        <f>22540.91+277870.57+205869.41+17560.93+22674.49+412707.76+266319.49+328251.35</f>
        <v>1553794.9100000001</v>
      </c>
    </row>
    <row r="8" spans="1:3" ht="18" customHeight="1">
      <c r="A8" s="20" t="s">
        <v>386</v>
      </c>
      <c r="B8" s="19">
        <v>582942.08</v>
      </c>
      <c r="C8" s="19">
        <f>3381491.48+582942.08</f>
        <v>3964433.56</v>
      </c>
    </row>
    <row r="9" spans="1:3" ht="18" customHeight="1">
      <c r="A9" s="20" t="s">
        <v>485</v>
      </c>
      <c r="B9" s="19">
        <v>557800</v>
      </c>
      <c r="C9" s="19">
        <f>2114300+557800</f>
        <v>2672100</v>
      </c>
    </row>
    <row r="10" spans="1:3" ht="18" customHeight="1">
      <c r="A10" s="20" t="s">
        <v>476</v>
      </c>
      <c r="B10" s="19">
        <v>0</v>
      </c>
      <c r="C10" s="19">
        <f>9450</f>
        <v>9450</v>
      </c>
    </row>
    <row r="11" spans="1:3" ht="18" customHeight="1" thickBot="1">
      <c r="A11" s="21" t="s">
        <v>19</v>
      </c>
      <c r="B11" s="23">
        <f>SUM(B6:B10)</f>
        <v>5981886.9399999995</v>
      </c>
      <c r="C11" s="23">
        <f>SUM(C6:C10)</f>
        <v>33492435.869999997</v>
      </c>
    </row>
    <row r="12" spans="1:3" ht="18" customHeight="1" thickTop="1">
      <c r="A12" s="25" t="s">
        <v>33</v>
      </c>
      <c r="B12" s="50"/>
      <c r="C12" s="19"/>
    </row>
    <row r="13" spans="1:3" ht="18" customHeight="1">
      <c r="A13" s="20" t="s">
        <v>387</v>
      </c>
      <c r="B13" s="15">
        <v>4095232.84</v>
      </c>
      <c r="C13" s="19">
        <f>15213361.82+4095232.84</f>
        <v>19308594.66</v>
      </c>
    </row>
    <row r="14" spans="1:3" ht="18" customHeight="1">
      <c r="A14" s="20" t="s">
        <v>388</v>
      </c>
      <c r="B14" s="15">
        <v>582700</v>
      </c>
      <c r="C14" s="19">
        <f>3449450+500+582700</f>
        <v>4032650</v>
      </c>
    </row>
    <row r="15" spans="1:3" ht="18" customHeight="1">
      <c r="A15" s="20" t="s">
        <v>60</v>
      </c>
      <c r="B15" s="19">
        <v>301388.69</v>
      </c>
      <c r="C15" s="19">
        <f>231482.61+22255.07+286867.84+28084.4+61655.14+279583.74+267815.56+301388.69</f>
        <v>1479133.05</v>
      </c>
    </row>
    <row r="16" spans="1:3" ht="18" customHeight="1">
      <c r="A16" s="20" t="s">
        <v>526</v>
      </c>
      <c r="B16" s="19">
        <v>488000</v>
      </c>
      <c r="C16" s="19">
        <f>964000+448800+815000+764200+407100+488000</f>
        <v>3887100</v>
      </c>
    </row>
    <row r="17" spans="1:3" ht="18" customHeight="1">
      <c r="A17" s="20" t="s">
        <v>123</v>
      </c>
      <c r="B17" s="19">
        <v>0</v>
      </c>
      <c r="C17" s="19">
        <f>399873.04+193068</f>
        <v>592941.04</v>
      </c>
    </row>
    <row r="18" spans="1:3" ht="18" customHeight="1">
      <c r="A18" s="20" t="s">
        <v>503</v>
      </c>
      <c r="B18" s="19">
        <v>557800</v>
      </c>
      <c r="C18" s="19">
        <f>1569410+544890+557800</f>
        <v>2672100</v>
      </c>
    </row>
    <row r="19" spans="1:3" ht="18" customHeight="1" thickBot="1">
      <c r="A19" s="21" t="s">
        <v>19</v>
      </c>
      <c r="B19" s="23">
        <f>SUM(B13:B18)</f>
        <v>6025121.53</v>
      </c>
      <c r="C19" s="23">
        <f>SUM(C13:C18)</f>
        <v>31972518.75</v>
      </c>
    </row>
    <row r="20" spans="1:3" ht="18" customHeight="1" thickBot="1" thickTop="1">
      <c r="A20" s="21" t="s">
        <v>61</v>
      </c>
      <c r="B20" s="23">
        <f>B11-B19</f>
        <v>-43234.59000000078</v>
      </c>
      <c r="C20" s="23">
        <f>C11-C19</f>
        <v>1519917.1199999973</v>
      </c>
    </row>
    <row r="21" spans="1:3" ht="18" customHeight="1" thickTop="1">
      <c r="A21" s="203"/>
      <c r="B21" s="204"/>
      <c r="C21" s="204"/>
    </row>
    <row r="22" spans="1:3" ht="18" customHeight="1">
      <c r="A22" s="203"/>
      <c r="B22" s="204"/>
      <c r="C22" s="204"/>
    </row>
    <row r="23" spans="1:3" ht="18" customHeight="1">
      <c r="A23" s="203"/>
      <c r="B23" s="204"/>
      <c r="C23" s="204"/>
    </row>
    <row r="24" spans="1:3" ht="18" customHeight="1">
      <c r="A24" s="203"/>
      <c r="B24" s="204"/>
      <c r="C24" s="204"/>
    </row>
    <row r="25" spans="1:3" ht="18" customHeight="1">
      <c r="A25" s="2" t="s">
        <v>12</v>
      </c>
      <c r="B25" s="9"/>
      <c r="C25" s="14"/>
    </row>
    <row r="26" spans="1:3" ht="18" customHeight="1">
      <c r="A26" s="16" t="s">
        <v>13</v>
      </c>
      <c r="B26" s="9"/>
      <c r="C26" s="14"/>
    </row>
    <row r="27" spans="1:3" ht="18" customHeight="1">
      <c r="A27" s="16"/>
      <c r="B27" s="9"/>
      <c r="C27" s="14"/>
    </row>
    <row r="28" spans="1:3" ht="18" customHeight="1">
      <c r="A28" s="16"/>
      <c r="B28" s="9"/>
      <c r="C28" s="14"/>
    </row>
    <row r="29" spans="1:3" ht="18" customHeight="1">
      <c r="A29" s="331" t="s">
        <v>62</v>
      </c>
      <c r="B29" s="331"/>
      <c r="C29" s="331"/>
    </row>
    <row r="30" spans="1:3" ht="18" customHeight="1">
      <c r="A30" s="331" t="s">
        <v>90</v>
      </c>
      <c r="B30" s="331"/>
      <c r="C30" s="331"/>
    </row>
    <row r="31" spans="1:3" ht="18" customHeight="1">
      <c r="A31" s="4"/>
      <c r="B31" s="4"/>
      <c r="C31" s="4"/>
    </row>
    <row r="32" spans="1:3" ht="18" customHeight="1">
      <c r="A32" s="331" t="s">
        <v>14</v>
      </c>
      <c r="B32" s="331"/>
      <c r="C32" s="331"/>
    </row>
    <row r="33" spans="1:3" ht="18" customHeight="1">
      <c r="A33" s="2"/>
      <c r="B33" s="9"/>
      <c r="C33" s="14"/>
    </row>
    <row r="34" spans="1:3" s="1" customFormat="1" ht="18" customHeight="1">
      <c r="A34" s="331" t="s">
        <v>124</v>
      </c>
      <c r="B34" s="331"/>
      <c r="C34" s="331"/>
    </row>
    <row r="35" spans="1:3" s="1" customFormat="1" ht="18" customHeight="1">
      <c r="A35" s="331" t="s">
        <v>15</v>
      </c>
      <c r="B35" s="331"/>
      <c r="C35" s="331"/>
    </row>
    <row r="36" spans="1:3" s="1" customFormat="1" ht="18" customHeight="1">
      <c r="A36" s="332">
        <v>240847</v>
      </c>
      <c r="B36" s="332"/>
      <c r="C36" s="332"/>
    </row>
  </sheetData>
  <sheetProtection/>
  <mergeCells count="9">
    <mergeCell ref="A34:C34"/>
    <mergeCell ref="A35:C35"/>
    <mergeCell ref="A36:C36"/>
    <mergeCell ref="A1:C1"/>
    <mergeCell ref="A2:C2"/>
    <mergeCell ref="A3:C3"/>
    <mergeCell ref="A29:C29"/>
    <mergeCell ref="A30:C30"/>
    <mergeCell ref="A32:C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37">
      <selection activeCell="K46" sqref="K46"/>
    </sheetView>
  </sheetViews>
  <sheetFormatPr defaultColWidth="9.140625" defaultRowHeight="12.75"/>
  <cols>
    <col min="1" max="1" width="11.421875" style="58" customWidth="1"/>
    <col min="2" max="2" width="7.7109375" style="22" customWidth="1"/>
    <col min="3" max="3" width="9.7109375" style="58" customWidth="1"/>
    <col min="4" max="5" width="6.7109375" style="22" customWidth="1"/>
    <col min="6" max="6" width="11.28125" style="22" customWidth="1"/>
    <col min="7" max="8" width="7.7109375" style="22" customWidth="1"/>
    <col min="9" max="9" width="7.57421875" style="22" customWidth="1"/>
    <col min="10" max="10" width="20.140625" style="22" customWidth="1"/>
    <col min="11" max="16384" width="9.140625" style="22" customWidth="1"/>
  </cols>
  <sheetData>
    <row r="1" spans="1:10" ht="23.25">
      <c r="A1" s="51"/>
      <c r="B1" s="27"/>
      <c r="C1" s="51"/>
      <c r="D1" s="27"/>
      <c r="E1" s="27"/>
      <c r="F1" s="27"/>
      <c r="G1" s="59"/>
      <c r="H1" s="27"/>
      <c r="I1" s="27"/>
      <c r="J1" s="28"/>
    </row>
    <row r="2" spans="1:10" ht="23.25">
      <c r="A2" s="343" t="s">
        <v>63</v>
      </c>
      <c r="B2" s="343"/>
      <c r="C2" s="343"/>
      <c r="D2" s="343"/>
      <c r="E2" s="343"/>
      <c r="F2" s="343"/>
      <c r="G2" s="342" t="s">
        <v>64</v>
      </c>
      <c r="H2" s="343"/>
      <c r="I2" s="343"/>
      <c r="J2" s="343"/>
    </row>
    <row r="3" spans="1:10" ht="23.25">
      <c r="A3" s="343" t="s">
        <v>65</v>
      </c>
      <c r="B3" s="343"/>
      <c r="C3" s="343"/>
      <c r="D3" s="343"/>
      <c r="E3" s="343"/>
      <c r="F3" s="343"/>
      <c r="G3" s="342" t="s">
        <v>88</v>
      </c>
      <c r="H3" s="343"/>
      <c r="I3" s="343"/>
      <c r="J3" s="343"/>
    </row>
    <row r="4" spans="1:10" ht="23.25">
      <c r="A4" s="52"/>
      <c r="B4" s="29"/>
      <c r="C4" s="52"/>
      <c r="D4" s="29"/>
      <c r="E4" s="29"/>
      <c r="F4" s="29"/>
      <c r="G4" s="60"/>
      <c r="H4" s="29"/>
      <c r="I4" s="29"/>
      <c r="J4" s="29"/>
    </row>
    <row r="5" spans="1:10" ht="23.25">
      <c r="A5" s="340" t="s">
        <v>564</v>
      </c>
      <c r="B5" s="340"/>
      <c r="C5" s="340"/>
      <c r="D5" s="340"/>
      <c r="E5" s="340"/>
      <c r="F5" s="344"/>
      <c r="G5" s="30"/>
      <c r="H5" s="30"/>
      <c r="I5" s="30"/>
      <c r="J5" s="31">
        <v>8450058.88</v>
      </c>
    </row>
    <row r="6" spans="1:10" ht="23.25">
      <c r="A6" s="53"/>
      <c r="B6" s="32"/>
      <c r="C6" s="53"/>
      <c r="D6" s="32"/>
      <c r="E6" s="32"/>
      <c r="F6" s="33"/>
      <c r="G6" s="30"/>
      <c r="H6" s="30"/>
      <c r="I6" s="30"/>
      <c r="J6" s="31"/>
    </row>
    <row r="7" spans="1:10" ht="23.25">
      <c r="A7" s="336" t="s">
        <v>66</v>
      </c>
      <c r="B7" s="336"/>
      <c r="C7" s="336"/>
      <c r="D7" s="336"/>
      <c r="E7" s="336"/>
      <c r="F7" s="33"/>
      <c r="G7" s="30"/>
      <c r="H7" s="30"/>
      <c r="I7" s="30"/>
      <c r="J7" s="31"/>
    </row>
    <row r="8" spans="1:10" ht="23.25">
      <c r="A8" s="55" t="s">
        <v>67</v>
      </c>
      <c r="B8" s="34"/>
      <c r="C8" s="55" t="s">
        <v>68</v>
      </c>
      <c r="D8" s="34"/>
      <c r="E8" s="34"/>
      <c r="F8" s="35" t="s">
        <v>69</v>
      </c>
      <c r="G8" s="30"/>
      <c r="H8" s="30"/>
      <c r="I8" s="30"/>
      <c r="J8" s="31"/>
    </row>
    <row r="9" spans="1:10" ht="23.25">
      <c r="A9" s="55" t="s">
        <v>565</v>
      </c>
      <c r="B9" s="34"/>
      <c r="C9" s="55" t="s">
        <v>566</v>
      </c>
      <c r="D9" s="34"/>
      <c r="E9" s="34"/>
      <c r="F9" s="35">
        <v>8314.64</v>
      </c>
      <c r="G9" s="30"/>
      <c r="H9" s="30"/>
      <c r="I9" s="30"/>
      <c r="J9" s="31"/>
    </row>
    <row r="10" spans="1:10" ht="23.25">
      <c r="A10" s="55"/>
      <c r="B10" s="34"/>
      <c r="C10" s="55" t="s">
        <v>567</v>
      </c>
      <c r="D10" s="34"/>
      <c r="E10" s="34"/>
      <c r="F10" s="35">
        <v>27150</v>
      </c>
      <c r="G10" s="30"/>
      <c r="H10" s="30"/>
      <c r="I10" s="30"/>
      <c r="J10" s="31"/>
    </row>
    <row r="11" spans="1:10" ht="23.25">
      <c r="A11" s="55" t="s">
        <v>568</v>
      </c>
      <c r="B11" s="34"/>
      <c r="C11" s="54" t="s">
        <v>569</v>
      </c>
      <c r="D11" s="54"/>
      <c r="E11" s="34"/>
      <c r="F11" s="36">
        <v>14813.2</v>
      </c>
      <c r="G11" s="30"/>
      <c r="H11" s="30"/>
      <c r="I11" s="30"/>
      <c r="J11" s="37"/>
    </row>
    <row r="12" spans="1:10" ht="23.25">
      <c r="A12" s="55"/>
      <c r="B12" s="34"/>
      <c r="C12" s="55" t="s">
        <v>570</v>
      </c>
      <c r="D12" s="34"/>
      <c r="E12" s="34"/>
      <c r="F12" s="36">
        <v>25377.69</v>
      </c>
      <c r="G12" s="30"/>
      <c r="H12" s="30"/>
      <c r="I12" s="30"/>
      <c r="J12" s="31">
        <v>75655.53</v>
      </c>
    </row>
    <row r="13" spans="1:10" ht="23.25">
      <c r="A13" s="55"/>
      <c r="B13" s="34"/>
      <c r="C13" s="55"/>
      <c r="D13" s="34"/>
      <c r="E13" s="34"/>
      <c r="F13" s="36"/>
      <c r="G13" s="30"/>
      <c r="H13" s="30"/>
      <c r="I13" s="30"/>
      <c r="J13" s="31"/>
    </row>
    <row r="14" spans="1:10" ht="23.25">
      <c r="A14" s="55"/>
      <c r="B14" s="34"/>
      <c r="C14" s="55"/>
      <c r="D14" s="34"/>
      <c r="E14" s="34"/>
      <c r="F14" s="36"/>
      <c r="G14" s="30"/>
      <c r="H14" s="30"/>
      <c r="I14" s="30"/>
      <c r="J14" s="31"/>
    </row>
    <row r="15" spans="1:10" ht="23.25">
      <c r="A15" s="55"/>
      <c r="B15" s="34"/>
      <c r="C15" s="55"/>
      <c r="D15" s="34"/>
      <c r="E15" s="34"/>
      <c r="F15" s="36"/>
      <c r="G15" s="30"/>
      <c r="H15" s="30"/>
      <c r="I15" s="30"/>
      <c r="J15" s="31"/>
    </row>
    <row r="16" spans="1:10" ht="23.25">
      <c r="A16" s="55"/>
      <c r="B16" s="34"/>
      <c r="C16" s="55"/>
      <c r="D16" s="34"/>
      <c r="E16" s="34"/>
      <c r="F16" s="36"/>
      <c r="G16" s="30"/>
      <c r="H16" s="30"/>
      <c r="I16" s="30"/>
      <c r="J16" s="31"/>
    </row>
    <row r="17" spans="1:10" ht="23.25">
      <c r="A17" s="55"/>
      <c r="B17" s="34"/>
      <c r="C17" s="55"/>
      <c r="D17" s="34"/>
      <c r="E17" s="34"/>
      <c r="F17" s="36"/>
      <c r="G17" s="30"/>
      <c r="H17" s="30"/>
      <c r="I17" s="30"/>
      <c r="J17" s="31"/>
    </row>
    <row r="18" spans="1:10" ht="23.25">
      <c r="A18" s="55"/>
      <c r="B18" s="34"/>
      <c r="C18" s="55"/>
      <c r="D18" s="34"/>
      <c r="E18" s="34"/>
      <c r="F18" s="36"/>
      <c r="G18" s="30"/>
      <c r="H18" s="30"/>
      <c r="I18" s="30"/>
      <c r="J18" s="31"/>
    </row>
    <row r="19" spans="1:10" ht="23.25">
      <c r="A19" s="55"/>
      <c r="B19" s="34"/>
      <c r="C19" s="55"/>
      <c r="D19" s="34"/>
      <c r="E19" s="34"/>
      <c r="F19" s="36"/>
      <c r="G19" s="30"/>
      <c r="H19" s="30"/>
      <c r="I19" s="30"/>
      <c r="J19" s="31"/>
    </row>
    <row r="20" spans="1:10" ht="23.25">
      <c r="A20" s="55"/>
      <c r="B20" s="34"/>
      <c r="C20" s="55"/>
      <c r="D20" s="34"/>
      <c r="E20" s="34"/>
      <c r="F20" s="36"/>
      <c r="G20" s="30"/>
      <c r="H20" s="30"/>
      <c r="I20" s="30"/>
      <c r="J20" s="31"/>
    </row>
    <row r="21" spans="1:10" ht="23.25">
      <c r="A21" s="341"/>
      <c r="B21" s="341"/>
      <c r="C21" s="341"/>
      <c r="D21" s="34"/>
      <c r="E21" s="34"/>
      <c r="F21" s="36"/>
      <c r="G21" s="30"/>
      <c r="H21" s="30"/>
      <c r="I21" s="30"/>
      <c r="J21" s="31"/>
    </row>
    <row r="22" spans="1:10" ht="23.25">
      <c r="A22" s="55"/>
      <c r="B22" s="278"/>
      <c r="C22" s="278"/>
      <c r="D22" s="34"/>
      <c r="E22" s="34"/>
      <c r="F22" s="36"/>
      <c r="G22" s="30"/>
      <c r="H22" s="30"/>
      <c r="I22" s="30"/>
      <c r="J22" s="31"/>
    </row>
    <row r="23" spans="1:10" ht="23.25">
      <c r="A23" s="55"/>
      <c r="B23" s="34"/>
      <c r="C23" s="55"/>
      <c r="D23" s="34"/>
      <c r="E23" s="34"/>
      <c r="F23" s="36"/>
      <c r="G23" s="30"/>
      <c r="H23" s="30"/>
      <c r="I23" s="30"/>
      <c r="J23" s="31"/>
    </row>
    <row r="24" spans="1:10" ht="23.25">
      <c r="A24" s="54"/>
      <c r="B24" s="34"/>
      <c r="C24" s="55"/>
      <c r="D24" s="34"/>
      <c r="E24" s="34"/>
      <c r="F24" s="36"/>
      <c r="G24" s="30"/>
      <c r="H24" s="30"/>
      <c r="I24" s="30"/>
      <c r="J24" s="31"/>
    </row>
    <row r="25" spans="1:10" ht="23.25">
      <c r="A25" s="345" t="s">
        <v>571</v>
      </c>
      <c r="B25" s="345"/>
      <c r="C25" s="345"/>
      <c r="D25" s="345"/>
      <c r="E25" s="345"/>
      <c r="F25" s="346"/>
      <c r="G25" s="30"/>
      <c r="H25" s="30"/>
      <c r="I25" s="30"/>
      <c r="J25" s="31">
        <f>SUM(J5-J12)</f>
        <v>8374403.350000001</v>
      </c>
    </row>
    <row r="26" spans="1:10" ht="23.25">
      <c r="A26" s="54"/>
      <c r="B26" s="34"/>
      <c r="C26" s="54"/>
      <c r="D26" s="34"/>
      <c r="E26" s="34"/>
      <c r="F26" s="38"/>
      <c r="G26" s="30"/>
      <c r="H26" s="30"/>
      <c r="I26" s="30"/>
      <c r="J26" s="31" t="s">
        <v>253</v>
      </c>
    </row>
    <row r="27" spans="1:10" ht="23.25">
      <c r="A27" s="56" t="s">
        <v>70</v>
      </c>
      <c r="B27" s="39"/>
      <c r="C27" s="56"/>
      <c r="D27" s="39"/>
      <c r="E27" s="39"/>
      <c r="F27" s="40"/>
      <c r="G27" s="339" t="s">
        <v>71</v>
      </c>
      <c r="H27" s="340"/>
      <c r="I27" s="340"/>
      <c r="J27" s="340"/>
    </row>
    <row r="28" spans="1:10" ht="23.25">
      <c r="A28" s="53"/>
      <c r="B28" s="32"/>
      <c r="C28" s="53"/>
      <c r="D28" s="32"/>
      <c r="E28" s="32"/>
      <c r="F28" s="36"/>
      <c r="G28" s="32"/>
      <c r="H28" s="32"/>
      <c r="I28" s="32"/>
      <c r="J28" s="32"/>
    </row>
    <row r="29" spans="1:10" ht="23.25">
      <c r="A29" s="337" t="s">
        <v>572</v>
      </c>
      <c r="B29" s="337"/>
      <c r="C29" s="337"/>
      <c r="D29" s="337"/>
      <c r="E29" s="337"/>
      <c r="F29" s="338"/>
      <c r="G29" s="335" t="s">
        <v>573</v>
      </c>
      <c r="H29" s="334"/>
      <c r="I29" s="334"/>
      <c r="J29" s="334"/>
    </row>
    <row r="30" spans="1:10" ht="23.25">
      <c r="A30" s="334" t="s">
        <v>536</v>
      </c>
      <c r="B30" s="334"/>
      <c r="C30" s="334"/>
      <c r="D30" s="334"/>
      <c r="E30" s="32"/>
      <c r="F30" s="36"/>
      <c r="G30" s="335" t="s">
        <v>505</v>
      </c>
      <c r="H30" s="334"/>
      <c r="I30" s="334"/>
      <c r="J30" s="334"/>
    </row>
    <row r="31" spans="1:10" ht="23.25">
      <c r="A31" s="57"/>
      <c r="B31" s="41"/>
      <c r="C31" s="57"/>
      <c r="D31" s="41"/>
      <c r="E31" s="41"/>
      <c r="F31" s="38"/>
      <c r="G31" s="42"/>
      <c r="H31" s="42"/>
      <c r="I31" s="42"/>
      <c r="J31" s="43"/>
    </row>
  </sheetData>
  <sheetProtection/>
  <mergeCells count="13">
    <mergeCell ref="G2:J2"/>
    <mergeCell ref="A3:F3"/>
    <mergeCell ref="G3:J3"/>
    <mergeCell ref="A5:F5"/>
    <mergeCell ref="A2:F2"/>
    <mergeCell ref="A25:F25"/>
    <mergeCell ref="A30:D30"/>
    <mergeCell ref="G30:J30"/>
    <mergeCell ref="A7:E7"/>
    <mergeCell ref="A29:F29"/>
    <mergeCell ref="G29:J29"/>
    <mergeCell ref="G27:J27"/>
    <mergeCell ref="A21:C2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2016-06-13T07:44:05Z</cp:lastPrinted>
  <dcterms:created xsi:type="dcterms:W3CDTF">1996-10-14T23:33:28Z</dcterms:created>
  <dcterms:modified xsi:type="dcterms:W3CDTF">2016-06-13T07:44:20Z</dcterms:modified>
  <cp:category/>
  <cp:version/>
  <cp:contentType/>
  <cp:contentStatus/>
</cp:coreProperties>
</file>